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vml" ContentType="application/vnd.openxmlformats-officedocument.vmlDrawing"/>
  <Default Extension="vsdx" ContentType="application/vnd.ms-visio.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omments1.xml" ContentType="application/vnd.openxmlformats-officedocument.spreadsheetml.comments+xml"/>
  <Override PartName="/xl/drawings/drawing14.xml" ContentType="application/vnd.openxmlformats-officedocument.drawing+xml"/>
  <Override PartName="/xl/comments2.xml" ContentType="application/vnd.openxmlformats-officedocument.spreadsheetml.comments+xml"/>
  <Override PartName="/xl/drawings/drawing15.xml" ContentType="application/vnd.openxmlformats-officedocument.drawing+xml"/>
  <Override PartName="/xl/comments3.xml" ContentType="application/vnd.openxmlformats-officedocument.spreadsheetml.comments+xml"/>
  <Override PartName="/xl/drawings/drawing16.xml" ContentType="application/vnd.openxmlformats-officedocument.drawing+xml"/>
  <Override PartName="/xl/comments4.xml" ContentType="application/vnd.openxmlformats-officedocument.spreadsheetml.comments+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omments5.xml" ContentType="application/vnd.openxmlformats-officedocument.spreadsheetml.comments+xml"/>
  <Override PartName="/xl/drawings/drawing21.xml" ContentType="application/vnd.openxmlformats-officedocument.drawing+xml"/>
  <Override PartName="/xl/drawings/drawing22.xml" ContentType="application/vnd.openxmlformats-officedocument.drawing+xml"/>
  <Override PartName="/xl/comments6.xml" ContentType="application/vnd.openxmlformats-officedocument.spreadsheetml.comments+xml"/>
  <Override PartName="/xl/drawings/drawing23.xml" ContentType="application/vnd.openxmlformats-officedocument.drawing+xml"/>
  <Override PartName="/xl/drawings/drawing24.xml" ContentType="application/vnd.openxmlformats-officedocument.drawing+xml"/>
  <Override PartName="/xl/comments7.xml" ContentType="application/vnd.openxmlformats-officedocument.spreadsheetml.comments+xml"/>
  <Override PartName="/xl/drawings/drawing25.xml" ContentType="application/vnd.openxmlformats-officedocument.drawing+xml"/>
  <Override PartName="/xl/comments8.xml" ContentType="application/vnd.openxmlformats-officedocument.spreadsheetml.comments+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comments9.xml" ContentType="application/vnd.openxmlformats-officedocument.spreadsheetml.comments+xml"/>
  <Override PartName="/xl/drawings/drawing29.xml" ContentType="application/vnd.openxmlformats-officedocument.drawing+xml"/>
  <Override PartName="/xl/comments10.xml" ContentType="application/vnd.openxmlformats-officedocument.spreadsheetml.comments+xml"/>
  <Override PartName="/xl/drawings/drawing30.xml" ContentType="application/vnd.openxmlformats-officedocument.drawing+xml"/>
  <Override PartName="/xl/comments11.xml" ContentType="application/vnd.openxmlformats-officedocument.spreadsheetml.comments+xml"/>
  <Override PartName="/xl/drawings/drawing31.xml" ContentType="application/vnd.openxmlformats-officedocument.drawing+xml"/>
  <Override PartName="/xl/comments12.xml" ContentType="application/vnd.openxmlformats-officedocument.spreadsheetml.comments+xml"/>
  <Override PartName="/xl/drawings/drawing32.xml" ContentType="application/vnd.openxmlformats-officedocument.drawing+xml"/>
  <Override PartName="/xl/comments13.xml" ContentType="application/vnd.openxmlformats-officedocument.spreadsheetml.comments+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comments14.xml" ContentType="application/vnd.openxmlformats-officedocument.spreadsheetml.comments+xml"/>
  <Override PartName="/xl/drawings/drawing44.xml" ContentType="application/vnd.openxmlformats-officedocument.drawing+xml"/>
  <Override PartName="/xl/drawings/drawing45.xml" ContentType="application/vnd.openxmlformats-officedocument.drawing+xml"/>
  <Override PartName="/xl/comments15.xml" ContentType="application/vnd.openxmlformats-officedocument.spreadsheetml.comments+xml"/>
  <Override PartName="/xl/drawings/drawing46.xml" ContentType="application/vnd.openxmlformats-officedocument.drawing+xml"/>
  <Override PartName="/xl/comments16.xml" ContentType="application/vnd.openxmlformats-officedocument.spreadsheetml.comments+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225"/>
  <workbookPr codeName="ThisWorkbook"/>
  <mc:AlternateContent xmlns:mc="http://schemas.openxmlformats.org/markup-compatibility/2006">
    <mc:Choice Requires="x15">
      <x15ac:absPath xmlns:x15ac="http://schemas.microsoft.com/office/spreadsheetml/2010/11/ac" url="C:\Users\098810\Desktop\RiskTool\"/>
    </mc:Choice>
  </mc:AlternateContent>
  <xr:revisionPtr revIDLastSave="0" documentId="8_{948B910C-31C8-4A59-8865-740F00359D30}" xr6:coauthVersionLast="47" xr6:coauthVersionMax="47" xr10:uidLastSave="{00000000-0000-0000-0000-000000000000}"/>
  <bookViews>
    <workbookView xWindow="26760" yWindow="370" windowWidth="30940" windowHeight="19570" xr2:uid="{00000000-000D-0000-FFFF-FFFF00000000}"/>
  </bookViews>
  <sheets>
    <sheet name="Work" sheetId="4" r:id="rId1"/>
    <sheet name="Copyright" sheetId="75" r:id="rId2"/>
    <sheet name="BSD License" sheetId="76" r:id="rId3"/>
    <sheet name="Theory" sheetId="54" r:id="rId4"/>
    <sheet name="Table D7&amp;8" sheetId="64" r:id="rId5"/>
    <sheet name="Table E5" sheetId="68" r:id="rId6"/>
    <sheet name=" Table F3&amp;6" sheetId="69" r:id="rId7"/>
    <sheet name="Table G6" sheetId="71" r:id="rId8"/>
    <sheet name="Table H4" sheetId="72" r:id="rId9"/>
    <sheet name="Table I5" sheetId="73" r:id="rId10"/>
    <sheet name="Table I7" sheetId="74" r:id="rId11"/>
    <sheet name="NIST Workshop" sheetId="56" r:id="rId12"/>
    <sheet name="Settings" sheetId="11" r:id="rId13"/>
    <sheet name="D2" sheetId="2" r:id="rId14"/>
    <sheet name="D3" sheetId="3" r:id="rId15"/>
    <sheet name="D4" sheetId="5" r:id="rId16"/>
    <sheet name="D5" sheetId="6" r:id="rId17"/>
    <sheet name="D6" sheetId="7" r:id="rId18"/>
    <sheet name="E2" sheetId="25" r:id="rId19"/>
    <sheet name="E3" sheetId="26" r:id="rId20"/>
    <sheet name="E2_desc" sheetId="28" r:id="rId21"/>
    <sheet name="E4" sheetId="27" r:id="rId22"/>
    <sheet name="F2" sheetId="30" r:id="rId23"/>
    <sheet name="F4" sheetId="32" r:id="rId24"/>
    <sheet name="F5" sheetId="31" r:id="rId25"/>
    <sheet name="G5_Hide" sheetId="63" r:id="rId26"/>
    <sheet name="G2" sheetId="34" r:id="rId27"/>
    <sheet name="G3" sheetId="35" r:id="rId28"/>
    <sheet name="I2_Hide" sheetId="62" r:id="rId29"/>
    <sheet name="G5_Proof" sheetId="60" r:id="rId30"/>
    <sheet name="Cell_Results" sheetId="66" r:id="rId31"/>
    <sheet name="G5_Concept_1" sheetId="37" r:id="rId32"/>
    <sheet name="G5_Concept_2" sheetId="58" r:id="rId33"/>
    <sheet name="I2_Concept_1" sheetId="40" r:id="rId34"/>
    <sheet name="I2_Concept_2" sheetId="59" r:id="rId35"/>
    <sheet name="I2_Proof" sheetId="61" r:id="rId36"/>
    <sheet name="_Table D7&amp;8" sheetId="45" r:id="rId37"/>
    <sheet name="_Table E5" sheetId="46" r:id="rId38"/>
    <sheet name="_Table F3" sheetId="47" r:id="rId39"/>
    <sheet name="_Table F6" sheetId="48" r:id="rId40"/>
    <sheet name="_Table G6 " sheetId="49" r:id="rId41"/>
    <sheet name="Sheet1" sheetId="70" r:id="rId42"/>
    <sheet name="_Table H4" sheetId="50" r:id="rId43"/>
    <sheet name="_Table I5" sheetId="51" r:id="rId44"/>
    <sheet name="_Table I7" sheetId="52" r:id="rId45"/>
    <sheet name="D8" sheetId="9" r:id="rId46"/>
    <sheet name="G4" sheetId="36" r:id="rId47"/>
    <sheet name="H2" sheetId="39" r:id="rId48"/>
    <sheet name="H3" sheetId="38" r:id="rId49"/>
    <sheet name="I3" sheetId="41" r:id="rId50"/>
    <sheet name="D-ThreatSources" sheetId="29" r:id="rId51"/>
    <sheet name="E-ThreatEvents" sheetId="14" state="hidden" r:id="rId52"/>
    <sheet name="F-VulnerabilitySeverity" sheetId="15" state="hidden" r:id="rId53"/>
    <sheet name="G-ThreatLikelihood" sheetId="16" state="hidden" r:id="rId54"/>
    <sheet name="H-ThreatImpact" sheetId="17" state="hidden" r:id="rId55"/>
    <sheet name="I-Risk" sheetId="18" state="hidden" r:id="rId56"/>
    <sheet name="F-misc" sheetId="19" state="hidden" r:id="rId57"/>
    <sheet name="G-misc" sheetId="20" state="hidden" r:id="rId58"/>
    <sheet name="H-misc" sheetId="21" state="hidden" r:id="rId59"/>
    <sheet name="I-misc" sheetId="23" state="hidden" r:id="rId60"/>
    <sheet name="H&amp;I-misc" sheetId="24" state="hidden" r:id="rId61"/>
  </sheets>
  <externalReferences>
    <externalReference r:id="rId62"/>
  </externalReferences>
  <definedNames>
    <definedName name="Adversarial">IF((Work!$J$8="Adversarial"),1,0)</definedName>
    <definedName name="Algorithm">Work!$K$8</definedName>
    <definedName name="CheckD2Val_DTABLES" localSheetId="0">IF(MATCH(Work!$L$8,'D2'!$C$8:$G$8,0)&lt;&gt;SUM(IF(_xlfn.IFNA(MATCH(Work!$M$8,'D2'!$C$41:$C$80,0),0), 1,0), IF(_xlfn.IFNA(MATCH(Work!$M$8,'D2'!$D$41:$D$80,0),0),2,0), IF(_xlfn.IFNA(MATCH(Work!$M$8,'D2'!$E$41:$E$80,0),0),3,0), IF(_xlfn.IFNA(MATCH(Work!$M$8,'D2'!$F$41:$F$80,0),0),4,0),IF(_xlfn.IFNA(MATCH(Work!$M$8,'D2'!$G$41:$G$80,0),0),5,0) ),1,0)</definedName>
    <definedName name="CheckE2Val_DTABLES" localSheetId="0">IF(MATCH(Work!$AC$8,'E2'!$C$18:$L$18,0)&lt;&gt;SUM( IF(_xlfn.IFNA(MATCH(Work!$AD$8,'E2'!$C$39:$C$78,0),0), 1,0),  IF(_xlfn.IFNA(MATCH(Work!$AD$8,'E2'!$D$39:$D$78,0),0), 2,0),  IF(_xlfn.IFNA(MATCH(Work!$AD$8,'E2'!$E$39:$E$78,0),0),3,0),   IF(_xlfn.IFNA(MATCH(Work!$AD$8,'E2'!$F$39:$F$78,0),0),4,0),   IF(_xlfn.IFNA(MATCH(Work!$AD$8,'E2'!$G$39:$G$78,0),0),5,0),  IF(_xlfn.IFNA(MATCH(Work!$AD$8,'E2'!$H$39:$H$78,0),0),6,0),  IF(_xlfn.IFNA(MATCH(Work!$AD$8,'E2'!$I$39:$I$78,0),0), 7,0),   IF(_xlfn.IFNA(MATCH(Work!$AD$8,'E2'!$J$39:$J$78,0),0),8,0),   IF(_xlfn.IFNA(MATCH(Work!$AD$8,'E2'!$K$39:$K$78,0),0),9,0),   IF(_xlfn.IFNA(MATCH(Work!$AD$8,'E2'!$L$39:$L$78,0),0),10,0) ),   1,0)</definedName>
    <definedName name="CheckF4Val_DTABLES" localSheetId="6">IF(MATCH(  Work!$AN$8,  'F4'!$C$22:$E$22,0) &lt;&gt; SUM(  IF(  _xlfn.IFNA(   MATCH( Work!$AO$8,  'F4'!$C$57:$C$78,0),  0),  1, 0),    IF(  _xlfn.IFNA(   MATCH(  Work!$AO$8, 'F4'!$D$57:$D$78,0),  0),  2,  0),    IF(    _xlfn.IFNA(  MATCH( Work!$AO$8,  'F4'!$E$57:$E$78,0),  0),  3,  0),      ),   1,   0)</definedName>
    <definedName name="CheckF4Val_DTABLES" localSheetId="39">IF(MATCH(  Work!$AN$8,  'F4'!$C$22:$E$22,0) &lt;&gt; SUM(  IF(  _xlfn.IFNA(   MATCH( Work!$AO$8,  'F4'!$C$57:$C$78,0),  0),  1, 0),    IF(  _xlfn.IFNA(   MATCH(  Work!$AO$8, 'F4'!$D$57:$D$78,0),  0),  2,  0),    IF(    _xlfn.IFNA(  MATCH( Work!$AO$8,  'F4'!$E$57:$E$78,0),  0),  3,  0),      ),   1,   0)</definedName>
    <definedName name="CheckF4Val_DTABLES" localSheetId="43">IF(MATCH(  Work!$AN$8,  'F4'!$C$22:$E$22,0) &lt;&gt; SUM(  IF(  _xlfn.IFNA(   MATCH( Work!$AO$8,  'F4'!$C$57:$C$78,0),  0),  1, 0),    IF(  _xlfn.IFNA(   MATCH(  Work!$AO$8, 'F4'!$D$57:$D$78,0),  0),  2,  0),    IF(    _xlfn.IFNA(  MATCH( Work!$AO$8,  'F4'!$E$57:$E$78,0),  0),  3,  0),      ),   1,   0)</definedName>
    <definedName name="CheckF4Val_DTABLES" localSheetId="9">IF(MATCH(  Work!$AN$8,  'F4'!$C$22:$E$22,0) &lt;&gt; SUM(  IF(  _xlfn.IFNA(   MATCH( Work!$AO$8,  'F4'!$C$57:$C$78,0),  0),  1, 0),    IF(  _xlfn.IFNA(   MATCH(  Work!$AO$8, 'F4'!$D$57:$D$78,0),  0),  2,  0),    IF(    _xlfn.IFNA(  MATCH( Work!$AO$8,  'F4'!$E$57:$E$78,0),  0),  3,  0),      ),   1,   0)</definedName>
    <definedName name="CheckF4Val_DTABLES" localSheetId="0">IF(MATCH(  Work!$AN$8,  'F4'!$C$22:$E$22,0) &lt;&gt; SUM(  IF(  _xlfn.IFNA(   MATCH( Work!$AO$8,  'F4'!$C$57:$C$78,0),  0),  1, 0),    IF(  _xlfn.IFNA(   MATCH(  Work!$AO$8, 'F4'!$D$57:$D$78,0),  0),  2,  0),    IF(    _xlfn.IFNA(  MATCH( Work!$AO$8,  'F4'!$E$57:$E$78,0),  0),  3,  0),      ),   1,   0)</definedName>
    <definedName name="CheckH2Val_DTables" localSheetId="0">IF(MATCH(Work!$BI$8, 'H2'!$D$42:$H$42,0)&lt;&gt;SUM(IF(_xlfn.IFNA(MATCH(Work!$BJ$8,  'H2'!$D$43:$D$60,0),0), 1,0),   IF(_xlfn.IFNA(MATCH(Work!$BJ$8, 'H2'!$E$43:$E$60,0),0),2,0),  IF(_xlfn.IFNA(MATCH(Work!$BJ$8, 'H2'!$F$43:$F$60,0),0),3,0),  IF(_xlfn.IFNA(MATCH(Work!$BJ$8,  'H2'!$G$43:$G$60,0),0),4,0),  IF(_xlfn.IFNA(MATCH(Work!$BJ$8,  'H2'!$H$43:$H$60,0),0),5,0) ),1,0)</definedName>
    <definedName name="CheckVal_D2" localSheetId="13">IF( MATCH( 'D2'!#REF!,'D2'!$C$8:$G$8,0) &lt;&gt; SUM( IF( _xlfn.IFNA( MATCH('D2'!#REF!,'D2'!$C$41:$C$80,0),0 ),1,0),IF(_xlfn.IFNA(MATCH('D2'!#REF!,'D2'!$D$41:$D$80,0),0),2,0),IF( _xlfn.IFNA(MATCH('D2'!#REF!,'D2'!$E$41:$E$80,0),0),3,0),IF(_xlfn.IFNA(MATCH('D2'!#REF!,'D2'!$F$41:$F$80,0),0),4,0),IF(_xlfn.IFNA(MATCH(Work!$M$8,'D2'!$G$41:$G$80,0),0), 5, 0)),1,0)</definedName>
    <definedName name="CheckVal_D2" localSheetId="18">IF(MATCH('D2'!$P$47,'D2'!$C$8:$F$8,0)&lt;&gt;SUM(IF(_xlfn.IFNA(MATCH('D2'!$Q$47,'D2'!$C$41:$C$80,0),0), 1,0), IF(_xlfn.IFNA(MATCH('D2'!$Q$47,'D2'!$D$41:$D$80,0),0),2,0), IF(_xlfn.IFNA(MATCH('D2'!$Q$47,'D2'!$E$41:$E$80,0),0),3,0), IF(_xlfn.IFNA(MATCH('D2'!$Q$47,'D2'!$F$41:$F$80,0),0),4,0) ),1,0)</definedName>
    <definedName name="CheckVal_D2" localSheetId="20">IF(MATCH('D2'!$P$47,'D2'!$C$8:$F$8,0)&lt;&gt;SUM(IF(_xlfn.IFNA(MATCH('D2'!$Q$47,'D2'!$C$41:$C$80,0),0), 1,0), IF(_xlfn.IFNA(MATCH('D2'!$Q$47,'D2'!$D$41:$D$80,0),0),2,0), IF(_xlfn.IFNA(MATCH('D2'!$Q$47,'D2'!$E$41:$E$80,0),0),3,0), IF(_xlfn.IFNA(MATCH('D2'!$Q$47,'D2'!$F$41:$F$80,0),0),4,0) ),1,0)</definedName>
    <definedName name="CheckVal_D2" localSheetId="19">IF(MATCH('D2'!$P$47,'D2'!$C$8:$F$8,0)&lt;&gt;SUM(IF(_xlfn.IFNA(MATCH('D2'!$Q$47,'D2'!$C$41:$C$80,0),0), 1,0), IF(_xlfn.IFNA(MATCH('D2'!$Q$47,'D2'!$D$41:$D$80,0),0),2,0), IF(_xlfn.IFNA(MATCH('D2'!$Q$47,'D2'!$E$41:$E$80,0),0),3,0), IF(_xlfn.IFNA(MATCH('D2'!$Q$47,'D2'!$F$41:$F$80,0),0),4,0) ),1,0)</definedName>
    <definedName name="CheckVal_D2" localSheetId="23">IF(MATCH('D2'!$P$47,'D2'!$C$8:$F$8,0)&lt;&gt;SUM(IF(_xlfn.IFNA(MATCH('D2'!$Q$47,'D2'!$C$41:$C$80,0),0), 1,0), IF(_xlfn.IFNA(MATCH('D2'!$Q$47,'D2'!$D$41:$D$80,0),0),2,0), IF(_xlfn.IFNA(MATCH('D2'!$Q$47,'D2'!$E$41:$E$80,0),0),3,0), IF(_xlfn.IFNA(MATCH('D2'!$Q$47,'D2'!$F$41:$F$80,0),0),4,0) ),1,0)</definedName>
    <definedName name="CheckVal_DTABLES" localSheetId="13">IF(MATCH(Work!$L$8,'D2'!$C$8:$G$8,0)&lt;&gt;SUM(IF(_xlfn.IFNA(MATCH(Work!$M$8,'D2'!$C$41:$C$80,0),0), 1,0), IF(_xlfn.IFNA(MATCH(Work!$M$8,'D2'!$D$41:$D$80,0),0),2,0), IF(_xlfn.IFNA(MATCH(Work!$M$8,'D2'!$E$41:$E$80,0),0),3,0), IF(_xlfn.IFNA(MATCH(Work!$M$8,'D2'!$F$41:$F$80,0),0),4,0),IF(_xlfn.IFNA(MATCH(Work!$M$8,'D2'!$G$41:$G$80,0),0),5,0) ),1,0)</definedName>
    <definedName name="ColumnRow" localSheetId="20">MATCH(Work!$AC$8,E2_desc!XEG22:XEN22,0)</definedName>
    <definedName name="D_Overall">ROUND(IF(InScope,  IFERROR(   IF(Adversarial, IF(Algorithm="Weighted Avg",D345_wAvg,D345_wRMS),    W_7 ), 0  ), 0 ),1)</definedName>
    <definedName name="D_Threat">IF(test_avg&lt;0, "Error", test_avg)</definedName>
    <definedName name="d_weight">AND(ISNUMBER(Work!$AA$8),IF(Work!$AA$8&gt;=0,1,0),IF(Work!$AA$8&lt;=100,1,0))</definedName>
    <definedName name="D2_d7" localSheetId="45">IFERROR(SEARCH("Error",Work!$L$7),0)</definedName>
    <definedName name="D2_d7" localSheetId="0">IFERROR(SEARCH("Error",Work!$L$7),0)</definedName>
    <definedName name="D2_d7">IFERROR(SEARCH("Error",Work!$L$7),0)</definedName>
    <definedName name="D2_d8" localSheetId="45">IFERROR(SEARCH("Error",Work!$L$7),0)</definedName>
    <definedName name="D3_d7" localSheetId="0">IFERROR(SEARCH("Error",Work!$O$6),0)</definedName>
    <definedName name="D3_d7">IFERROR(SEARCH("Error",Work!$O$6),0)</definedName>
    <definedName name="D3_d8" localSheetId="45">IFERROR(SEARCH("Error",Work!$O$6),0)</definedName>
    <definedName name="d3_rating">AND(ISNUMBER(Work!$P$8),IF(Work!$P$8&gt;=0,1,0),IF(Work!$P$8&lt;=100,1,0))</definedName>
    <definedName name="d3_weight">IF(AND(ISNUMBER(Work!$Q$8),IF(Work!$Q$8&gt;=0,1,0),IF(Work!$Q$8&lt;=100,1,0)), 1, 0)</definedName>
    <definedName name="D345_Rating">IF(InScope,  IF(Adversarial, IF(Algorithm="Weighted Avg",D345_wAvg,D345_wRMS),    0 ), 0  )</definedName>
    <definedName name="D345_wAvg">SUM(N_7*O_7,Q_7*R_7,T_7*U_7)/SUM(O_7,R_7,U_7)</definedName>
    <definedName name="D345_wRMS">SQRT( SUM(N_7*N_7*O_7,Q_7*Q_7*R_7,T_7*T_7*U_7) / SUM(O_7,R_7,U_7) )</definedName>
    <definedName name="D4_d7" localSheetId="0">IFERROR(SEARCH("Error",Work!$R$6),0)</definedName>
    <definedName name="D4_d7">IFERROR(SEARCH("Error",Work!$R$6),0)</definedName>
    <definedName name="D4_d8" localSheetId="45">IFERROR(SEARCH("Error",Work!$R$6),0)</definedName>
    <definedName name="d4_weight">AND(ISNUMBER(Work!$T$8),IF(Work!$T$8&gt;=0,1,0),IF(Work!$T$8&lt;=100,1,0))</definedName>
    <definedName name="D5_d7" localSheetId="0">IFERROR(SEARCH("Error",Work!$U$6),0)</definedName>
    <definedName name="D5_d7">IFERROR(SEARCH("Error",Work!$U$6),0)</definedName>
    <definedName name="D5_d8" localSheetId="45">IFERROR(SEARCH("Error",Work!$U$6),0)</definedName>
    <definedName name="d5_rating">AND(ISNUMBER(Work!$V$8),IF(Work!$V$8&gt;=0,1,0),IF(Work!$V$8&lt;=100,1,0))</definedName>
    <definedName name="d5_weight">IF(AND(ISNUMBER(Work!$W$8),IF(Work!$W$8&gt;=0,1,0),IF(Work!$W$8&lt;=100,1,0)), 1, 0)</definedName>
    <definedName name="D6_d8" localSheetId="45">IFERROR(SEARCH("Error",Work!$X$6),0)</definedName>
    <definedName name="d6_weight">IF(AND(ISNUMBER(Work!$Y$8),IF(Work!$Y$8&gt;=0,1,0),IF(Work!$Y$8&lt;=100,1,0)), 0, 1)</definedName>
    <definedName name="D8_Error" localSheetId="45">OR('D8'!D2_d8, 'D8'!D6_d8)</definedName>
    <definedName name="D8_Rating">ROUND(IF(InScope,  IF(Adversarial, 0,    W_7 ), 0  ), 1)</definedName>
    <definedName name="e_na">IF(Work!$AF$8="N/A (Click here to start update)", 1,0)</definedName>
    <definedName name="e_nna">IF(e_na, 0, 1)</definedName>
    <definedName name="e_rating">AND(ISNUMBER(Work!$AG$8),IF(Work!$AG$8&gt;=0,1,0),IF(Work!$AG$8&lt;=100,1,0))</definedName>
    <definedName name="e_weight">IF(AND(ISNUMBER(Work!$AH$8),IF(Work!$AH$8&gt;=0,1,0),IF(Work!$AH$8&lt;=100,1,0)), 1, 0)</definedName>
    <definedName name="E2B_Description" localSheetId="0">OFFSET(E2_desc!$C$38,   VALUE(CONCATENATE(_xlfn.IFNA(MATCH(Work!$AD$8,'E2'!XEM38:XEM77,0),""),_xlfn.IFNA(MATCH(Work!$AD$8,'E2'!XEN38:XEN77,0),""), _xlfn.IFNA(MATCH(Work!$AD$8,'E2'!XEO38:XEO77,0),""), _xlfn.IFNA(MATCH(Work!$AD$8,'E2'!XEP38:XEP77,0),""),_xlfn.IFNA(MATCH(Work!$AD$8,'E2'!XEQ38:XEQ77,0),""),_xlfn.IFNA(MATCH(Work!$AD$8,'E2'!XER38:XER77,0),""),_xlfn.IFNA(MATCH(Work!$AD$8,'E2'!XES38:XES77,0),""),_xlfn.IFNA(MATCH(Work!$AD$8,'E2'!XET38:XET77,0),"") ) ),   MATCH(Work!$AC$8,E2_desc!XEM37:XET37,0) -1)</definedName>
    <definedName name="f_nnull">IF(f_null, 0, 1)</definedName>
    <definedName name="f_null">IF(OR(f2_na,f5_na,f2_help,f5_help,f2_weight, f5_weight), 0, 1)</definedName>
    <definedName name="f_nwt">IF(AND(f2_weight, f5_weight), 0, 1)</definedName>
    <definedName name="f_weight">IF(AND(ISNUMBER(Work!$AT$8),IF(Work!$AT$8&gt;=0,1,0),IF(Work!$AT$8&lt;=100,1,0)), 0, 1)</definedName>
    <definedName name="f2_help">IF(Work!$AK$8 = "-1       Help (n/a)", 1, 0)</definedName>
    <definedName name="f2_na">IF(Work!$AK$8="N/A (Click here to start update)", 1,0)</definedName>
    <definedName name="f2_nna">IF(f2_na, 0, 1)</definedName>
    <definedName name="f2_rating">IF(AND(ISNUMBER(Work!$AL$8),IF(Work!$AL$8&gt;=0,1,0),IF(Work!$AL$8&lt;=100,1,0)), 0, 1)</definedName>
    <definedName name="f2_RatNum">IF(f2_rating, 0, Work!$AL$8)</definedName>
    <definedName name="f2_weight">IF(AND(ISNUMBER(Work!$AM$8),IF(Work!$AM$8&gt;=0,1,0),IF(Work!$AM$8&lt;=100,1,0)), 0, 1)</definedName>
    <definedName name="f2_xx">IF( OR(Work!$AK$8 = "N/A (Click here to start update)", Work!$AK$8 = "-1       Help (n/a)"),     0, 1)</definedName>
    <definedName name="f5_help">IF(Work!$AP$8 = "-1       Help (n/a)", 1, 0)</definedName>
    <definedName name="f5_na">IF(Work!$AP$8="N/A (Click here to start update)", 1,0)</definedName>
    <definedName name="f5_nna">IF(f5_na, 0, 1)</definedName>
    <definedName name="f5_rating">IF(AND(ISNUMBER(Work!$AQ$8),IF(Work!$AQ$8&gt;=0,1,0),IF(Work!$AQ$8&lt;=100,1,0)), 0, 1)</definedName>
    <definedName name="f5_RatNum">IF(f5_rating, 0, Work!$AQ$8)</definedName>
    <definedName name="f5_weight">IF(AND(ISNUMBER(Work!$AR$8),IF(Work!$AR$8&gt;=0,1,0),IF(Work!$AR$8&lt;=100,1,0)), 0, 1)</definedName>
    <definedName name="f5_xx">IF( OR(Work!$AP$8 = "N/A (Click here to start update)", Work!$AP$8 = "-1       Help (n/a)"),     0, 1)</definedName>
    <definedName name="g2_help">IF(Work!$AW$8= "-1       Help (n/a)",1,0)</definedName>
    <definedName name="g23_bwt">IF(AND(ISNUMBER(Work!$BD$8),IF(Work!$BD$8&gt;=1,1,0),IF(Work!$BD$8&lt;=100,1,0)), 0, 1)</definedName>
    <definedName name="g23_na">IF(Work!$BD$8="N/A (Click here to start update)", 1,0)</definedName>
    <definedName name="g23_wt">IF(g23_bwt, Work!$BD$8, Settings!$CN$13)</definedName>
    <definedName name="G5Ranking" localSheetId="0">IF(Adversarial,  OFFSET(G5_Concept_1!$E$23,MATCH(Work!$AW$8,G5_Concept_1!$C$23:$C$27,0)-1,MATCH(Work!$BA$8,G5_Concept_1!$E$21:$I$21,0)-1),    OFFSET(G5_Concept_1!$E$23,MATCH(Work!$AY$8,G5_Concept_1!$C$23:$C$27,0)-1,MATCH(Work!$BA$8,G5_Concept_1!$E$21:$I$21,0)-1) )</definedName>
    <definedName name="G5Score">IF(Adversarial,OFFSET(G5_Concept_1!XEZ$35,MATCH(Work!$AW$8,G5_Concept_1!$C$35:$C$39,0)-1,MATCH(Work!$BA$8,G5_Concept_1!$E23:$I23,0)-1),OFFSET(G5_Concept_1!$E$35,MATCH(Work!$AY$8,G5_Concept_1!$C25:$C29,0)-1,MATCH(Work!$BA$8,G5_Concept_1!$E23:$I23,0)-1))</definedName>
    <definedName name="I3Help" localSheetId="43">VLOOKUP(  INDEX('I3'!$D$18:$D$22,   MATCH('_Table I5'!$BA$7, 'I3'!$D$18:$D$22, 0)   ),  'I3'!$D$18:$G$22,  4)</definedName>
    <definedName name="I3Help" localSheetId="0">VLOOKUP(  INDEX('I3'!$D$18:$D$22,   MATCH(Work!#REF!, 'I3'!$D$18:$D$22, 0)   ),  'I3'!$D$18:$G$22,  4)</definedName>
    <definedName name="I3Ranking" localSheetId="43">OFFSET(I2_Concept_1!$E$23,MATCH('_Table I5'!#REF!,I2_Concept_1!$C$23:$C$27,0)-1,  MATCH("21-79+  (Moderate)",I2_Concept_1!$E$21:$I$21,0)-1)</definedName>
    <definedName name="I3Ranking" localSheetId="33">OFFSET(I2_Concept_1!$E$23,MATCH(I2_Concept_1!$AQ$7,I2_Concept_1!$C$23:$C$27,0)-1,  MATCH(I2_Concept_1!$AQ$7,I2_Concept_1!$E$21:$I$21,0)-1)</definedName>
    <definedName name="I3Ranking" localSheetId="0">OFFSET(I2_Concept_1!$E$23,MATCH(Work!$BA$8,I2_Concept_1!$C$23:$C$27,0)-1,  MATCH(Work!$BA$8,I2_Concept_1!$E$21:$I$21,0)-1)</definedName>
    <definedName name="I3Score" localSheetId="43">OFFSET(I2_Concept_1!$E$35,MATCH('_Table I5'!#REF!,I2_Concept_1!$C$35:$C$39,0)-1,   MATCH('_Table I5'!$AW$7,I2_Concept_1!$E$33:$I$33,0)-1)</definedName>
    <definedName name="I3Score" localSheetId="0">OFFSET(I2_Concept_1!$E$35,MATCH(Work!$BA$8,I2_Concept_1!$C$35:$C$39,0)-1,   MATCH(Work!$BK$8,I2_Concept_1!$E$33:$I$33,0)-1)</definedName>
    <definedName name="IDgen">Work!$A$7:$AO$8</definedName>
    <definedName name="incID">#REF!</definedName>
    <definedName name="InScope">IF((Work!$N$8="Yes"),1,0)</definedName>
    <definedName name="Likelihood_c">ROUND(IF(wRMS, wRMS_c, wAVG_c),1)</definedName>
    <definedName name="MeanG3__D_Tables" localSheetId="0">IF( OR( NOT(Adversarial),(Work!$AY$8='G3'!$C$17) ),"n/a",VALUE(CONCATENATE("0",IF(Work!$AY$8='G3'!$C$18,3,""),IF(Work!$AY$8='G3'!$C$19,13,""),IF(Work!$AY$8='G3'!$C$20,51,""),IF(Work!$AY$8='G3'!$C$21,88,""),IF(Work!$AY$8='G3'!$C$22,98,""))))</definedName>
    <definedName name="MeanH3Val" localSheetId="0">IF( OR(NOT(Adversarial),(Work!$BK$8='H3'!$C$17) ),"n/a",VALUE(CONCATENATE("0",IF(Work!$BK$8='H3'!$C$18,3,""),IF(Work!$BK$8='H3'!$C$19,13,""),IF(Work!$BK$8='H3'!$C$20,51,""),IF(Work!$BK$8='H3'!$C$21,88,""),IF(Work!$BK$8='G2'!$C$22,98,""))))</definedName>
    <definedName name="MeanI3Val" localSheetId="0">IF( OR(NOT(Adversarial),(Work!#REF!='I3'!$C$17) ),"n/a",VALUE(CONCATENATE("0",IF(Work!#REF!='I3'!$C$18,3,""),IF(Work!#REF!='I3'!$C$19,13,""),IF(Work!#REF!='I3'!$C$20,51,""),IF(Work!#REF!='I3'!$C$21,88,""),IF(Work!#REF!='I3'!$C$22,98,""))))</definedName>
    <definedName name="MeanVal_F2" localSheetId="22">IF(OR( NOT(Adversarial),('F2'!$C$7='D3'!$C$30)  ),"n/a",VALUE(CONCATENATE("0",IF('F2'!$C$7='F2'!$C$18,3,""),IF('F2'!$C$7='F2'!$C$19,13,""),IF('F2'!$C$7='F2'!$C$20,51,""),IF('F2'!$C$7='F2'!$C$21,88,""),IF('F2'!$C$7='F2'!$C$22,98,""))))</definedName>
    <definedName name="MeanVal5" localSheetId="0">IF(ROW()=7, IF(Adversarial,VALUE(CONCATENATE(IF(Work!$U$8='D5'!$C$30,1111,""),IF(Work!$U$8='D5'!$C$31,3,""),IF(Work!$U$8='D5'!$C$32,13,""),IF(Work!$U$8='D5'!$C$33,51,""),IF(Work!$U$8='D5'!$C$34,88,""),IF(Work!$U$8='D5'!$C$35,98,""))),"n/a"),"")</definedName>
    <definedName name="MeanVal6" localSheetId="0">VALUE(CONCATENATE(IF(Work!$X$8='D5'!$C$30,1111,""),IF(Work!$X$8='D5'!$C$31,3,""),IF(Work!$X$8='D5'!$C$32,13,""),IF(Work!$X$8='D5'!$C$33,51,""),IF(Work!$X$8='D5'!$C$34,88,""),IF(Work!$X$8='D5'!$C$35,98,"")))</definedName>
    <definedName name="MeanValD3" localSheetId="0">IF( OR(NOT(Adversarial),(Work!$O$8='D3'!$C$30) ),"n/a",VALUE(CONCATENATE("0",IF(Work!$O$8='D3'!$C$31,3,""),IF(Work!$O$8='D3'!$C$32,13,""),IF(Work!$O$8='D3'!$C$33,51,""),IF(Work!$O$8='D3'!$C$34,88,""),IF(Work!$O$8='D3'!$C$35,98,""))))</definedName>
    <definedName name="MeanValD3">IF(Adversarial,VALUE(CONCATENATE(IF(#REF!='D3'!$C$30,"1111",""),IF(#REF!='D3'!$C$31,3,""),IF(#REF!='D3'!$C$32,13,""),IF(#REF!='D3'!$C$33,51,""),IF(#REF!='D3'!$C$34,88,""),IF(#REF!='D3'!$C$35,98,""))),"n/a")</definedName>
    <definedName name="MeanValD4" localSheetId="0">IF(Adversarial,VALUE(CONCATENATE(IF(Work!$R$8='D4'!$C$30,1111,""),IF(Work!$R$8='D4'!$C$31,3,""),IF(Work!$R$8='D4'!$C$32,13,""),IF(Work!$R$8='D4'!$C$33,51,""),IF(Work!$R$8='D4'!$C$34,88,""),IF(Work!$R$8='D4'!$C$35,98,""))),"n/a")</definedName>
    <definedName name="MeanValD5" localSheetId="0">IF(Adversarial,VALUE(CONCATENATE(IF(Work!$U$8='D5'!$C$30,1111,""),IF(Work!$U$8='D5'!$C$31,3,""),IF(Work!$U$8='D5'!$C$32,13,""),IF(Work!$U$8='D5'!$C$33,51,""),IF(Work!$U$8='D5'!$C$34,88,""),IF(Work!$U$8='D5'!$C$35,98,""))),"n/a")</definedName>
    <definedName name="MeanValD6" localSheetId="0">IF(Adversarial, "n/a",VALUE(CONCATENATE(IF(Work!$X$8='D6'!$C$30,1111,""),IF(Work!$X$8='D6'!$C$31,3,""),IF(Work!$X$8='D6'!$C$32,13,""),IF(Work!$X$8='D6'!$C$33,51,""),IF(Work!$X$8='D6'!$C$34,88,""),IF(Work!$X$8='D6'!$C$35,98,""))))</definedName>
    <definedName name="MeanValDT" localSheetId="22">IF(OR( NOT(Adversarial),(Work!$AK$8='D3'!$C$30)  ),"n/a",VALUE(CONCATENATE("0",IF(Work!$AK$8='D3'!$C$31,3,""),IF(Work!$AK$8='D3'!$C$32,13,""),IF(Work!$AK$8='D3'!$C$33,51,""),IF(Work!$AK$8='D3'!$C$34,88,""),IF(Work!$AK$8='D3'!$C$35,98,""))))</definedName>
    <definedName name="MeanValDT_G2" localSheetId="26">IF( OR(NOT(Adversarial),(Work!$AW$8='G2'!$C$17) ),"n/a",VALUE(CONCATENATE("0",IF(Work!$AW$8='G2'!$C$18,3,""),IF(Work!$AW$8='G2'!$C$19,13,""),IF(Work!$AW$8='G2'!$C$20,51,""),IF(Work!$AW$8='G2'!$C$21,88,""),IF(Work!$AW$8='G2'!$C$22,98,""))))</definedName>
    <definedName name="MeanValG2_DTables" localSheetId="0">IF( OR(NOT(Adversarial),(Work!$AW$8='G2'!$C$17) ),"n/a",VALUE(CONCATENATE("0",IF(Work!$AW$8='G2'!$C$18,3,""),IF(Work!$AW$8='G2'!$C$19,13,""),IF(Work!$AW$8='G2'!$C$20,51,""),IF(Work!$AW$8='G2'!$C$21,88,""),IF(Work!$AW$8='G2'!$C$22,98,""))))</definedName>
    <definedName name="MeanValue_D3" localSheetId="14">IF(OR( NOT(Adversarial),('D3'!$C$7='D3'!$C$30)  ),"n/a",VALUE(CONCATENATE("0",IF('D3'!$C$7='D3'!$C$31,3,""),IF('D3'!$C$7='D3'!$C$32,13,""),IF('D3'!$C$7='D3'!$C$33,51,""),IF('D3'!$C$7='D3'!$C$34,88,""),IF('D3'!$C$7='D3'!$C$35,98,""))))</definedName>
    <definedName name="MeanValue_D3" localSheetId="15">VALUE(CONCATENATE(IF('D4'!$C$7='D4'!$C$30,1111,""),IF('D4'!$C$7='D4'!$C$31,3,""),IF('D4'!$C$7='D4'!$C$32,13,""),IF('D4'!$C$7='D4'!$C$33,51,""),IF('D4'!$C$7='D4'!$C$34,88,""),IF('D4'!$C$7='D4'!$C$35,98,"")))</definedName>
    <definedName name="MeanValue_D3" localSheetId="21">VALUE(CONCATENATE(IF('E4'!$H$7='E4'!#REF!,1111,""),IF('E4'!$H$7='E4'!#REF!,3,""),IF('E4'!$H$7='E4'!#REF!,13,""),IF('E4'!$H$7='E4'!#REF!,51,""),IF('E4'!$H$7='E4'!#REF!,88,""),IF('E4'!$H$7='E4'!#REF!,98,"")))</definedName>
    <definedName name="MeanValue_D4" localSheetId="15">VALUE(CONCATENATE(IF('D4'!$C$7='D4'!$C$30,1111,""),IF('D4'!$C$7='D4'!$C$31,3,""),IF('D4'!$C$7='D4'!$C$32,13,""),IF('D4'!$C$7='D4'!$C$33,51,""),IF('D4'!$C$7='D4'!$C$34,88,""),IF('D4'!$C$7='D4'!$C$35,98,"")))</definedName>
    <definedName name="MeanValue_D4" localSheetId="16">VALUE(CONCATENATE(IF('D5'!$C$7='D5'!$C$30,1111,""),IF('D5'!$C$7='D5'!$C$31,3,""),IF('D5'!$C$7='D5'!$C$32,13,""),IF('D5'!$C$7='D5'!$C$33,51,""),IF('D5'!$C$7='D5'!$C$34,88,""),IF('D5'!$C$7='D5'!$C$35,98,"")))</definedName>
    <definedName name="MeanValue_D4" localSheetId="17">VALUE(CONCATENATE(IF('D6'!$C$7='D6'!$C$30,1111,""),IF('D6'!$C$7='D6'!$C$31,3,""),IF('D6'!$C$7='D6'!$C$32,13,""),IF('D6'!$C$7='D6'!$C$33,51,""),IF('D6'!$C$7='D6'!$C$34,88,""),IF('D6'!$C$7='D6'!$C$35,98,"")))</definedName>
    <definedName name="MeanValue_D4" localSheetId="0">VALUE(CONCATENATE(IF(Work!$M$8=Work!#REF!,1111,""),IF(Work!$M$8=Work!#REF!,3,""),IF(Work!$M$8=Work!#REF!,13,""),IF(Work!$M$8=Work!#REF!,51,""),IF(Work!$M$8=Work!#REF!,88,""),IF(Work!$M$8=Work!#REF!,98,"")))</definedName>
    <definedName name="MeanValue_D5" localSheetId="16">VALUE(CONCATENATE(IF('D5'!$C$7='D5'!$C$30,1111,""),IF('D5'!$C$7='D5'!$C$31,3,""),IF('D5'!$C$7='D5'!$C$32,13,""),IF('D5'!$C$7='D5'!$C$33,51,""),IF('D5'!$C$7='D5'!$C$34,88,""),IF('D5'!$C$7='D5'!$C$35,98,"")))</definedName>
    <definedName name="MeanValue_D6" localSheetId="17">VALUE(CONCATENATE(IF('D6'!$C$7='D6'!$C$30,1111,""),IF('D6'!$C$7='D6'!$C$31,3,""),IF('D6'!$C$7='D6'!$C$32,13,""),IF('D6'!$C$7='D6'!$C$33,51,""),IF('D6'!$C$7='D6'!$C$34,88,""),IF('D6'!$C$7='D6'!$C$35,98,"")))</definedName>
    <definedName name="N_7">IFERROR(IF(AND(IF(Work!$P$8&lt;0,0,1),IF(Work!$P$8&gt;100,0,1)), 1,0) * Work!$P$8,0)</definedName>
    <definedName name="O_7">IFERROR(IF(AND(IF(Work!$Q$8&lt;0,0,1),IF(Work!$Q$8&gt;100,0,1)), 1,0) * Work!$Q$8,0)</definedName>
    <definedName name="Q_7">IFERROR(IF(AND(IF(Work!$S$8&lt;0,0,1),IF(Work!$S$8&gt;100,0,1)), 1,0) * Work!$S$8,0)</definedName>
    <definedName name="R_7">IFERROR(IF(AND(IF(Work!$T$8&lt;0,0,1),IF(Work!$T$8&gt;100,0,1)), 1,0) * Work!$T$8,0)</definedName>
    <definedName name="SelD2Val_Dtables" localSheetId="0">IF(Work!CheckD2Val_DTABLES,"Error: Click a New Threat","")</definedName>
    <definedName name="Selection_D2" localSheetId="13">OFFSET( 'D2'!$C$40, 1,   MATCH('D2'!#REF!, 'D2'!XFD32:$G$40, 0)-1,COUNTA(   OFFSET(      'D2'!$C$40,1,  MATCH('D2'!#REF!, 'D2'!XFD32:$G$40, 0)  -1,   40, 1 ) ), 1)</definedName>
    <definedName name="Selector_E2A" localSheetId="18">"OFFSET(E2A!$C$38,1,MATCH(E2A!$B$7,E2A!C38:J38,0)-1,COUNTA(OFFSET(E2A!$C$38,1,MATCH(E2A!$B$7, E2A!C38:J38,0)-1,40,1)),1)"</definedName>
    <definedName name="SelectorH2" localSheetId="0">OFFSET( 'H2'!$D$42, 1,   MATCH('H2'!$AS$7, 'H2'!$D$42:$H$42, 0)-1,   COUNTA(   OFFSET( 'H2'!$D$42,1,  MATCH( 'H2'!$AS$7, 'H2'!$D$42:$H$42, 0)  -1,   40, 1 ) ), 1)</definedName>
    <definedName name="SelectorRow" localSheetId="20">VALUE(CONCATENATE(_xlfn.IFNA(MATCH(Work!$AD$8,'E2'!XEG23:XEG62,0),""),_xlfn.IFNA(MATCH(Work!$AD$8,'E2'!XEH23:XEH62,0),""), _xlfn.IFNA(MATCH(Work!$AD$8,'E2'!XEI23:XEI62,0),""), _xlfn.IFNA(MATCH(Work!$AD$8,'E2'!XEJ23:XEJ62,0),""),_xlfn.IFNA(MATCH(Work!$AD$8,'E2'!XEK23:XEK62,0),""),_xlfn.IFNA(MATCH(Work!$AD$8,'E2'!XEL23:XEL62,0),""),_xlfn.IFNA(MATCH(Work!$AD$8,'E2'!XEM23:XEM62,0),""),_xlfn.IFNA(MATCH(Work!$AD$8,'E2'!XEN23:XEN62,0),"") ) )</definedName>
    <definedName name="SelectorRow2" localSheetId="0">VALUE(CONCATENATE(_xlfn.IFNA(MATCH(Work!$AD$8,'E2'!XEG23:XEG62,0),""),_xlfn.IFNA(MATCH(Work!$AD$8,'E2'!XEH23:XEH62,0),""), _xlfn.IFNA(MATCH(Work!$AD$8,'E2'!XEI23:XEI62,0),""), _xlfn.IFNA(MATCH(Work!$AD$8,'E2'!XEJ23:XEJ62,0),""),_xlfn.IFNA(MATCH(Work!$AD$8,'E2'!XEK23:XEK62,0),""),_xlfn.IFNA(MATCH(Work!$AD$8,'E2'!XEL23:XEL62,0),""),_xlfn.IFNA(MATCH(Work!$AD$8,'E2'!XEM23:XEM62,0),""),_xlfn.IFNA(MATCH(Work!$AD$8,'E2'!XEN23:XEN62,0),"") ) )</definedName>
    <definedName name="SelF4Val_Dtables" localSheetId="39">IF(Work!CheckF4Val_DTABLES,"Error: Click a new Predisposing Condition","")</definedName>
    <definedName name="SelF4Val_Dtables" localSheetId="44">IF(Work!CheckF4Val_DTABLES,"Error: Click a new Predisposing Condition","")</definedName>
    <definedName name="SelF4Val_Dtables" localSheetId="0">IF(Work!CheckF4Val_DTABLES,"Error: Click a new Predisposing Condition","")</definedName>
    <definedName name="SelNewVal_D2" localSheetId="13">IF('D2'!CheckVal_D2,"Error: Click a New Threat","")</definedName>
    <definedName name="SelNewVal_D2" localSheetId="18">IF('D2'!CheckVal_D2,"Error: Click a New Threat","")</definedName>
    <definedName name="SelNewVal_D2" localSheetId="20">IF('D2'!CheckVal_D2,"Error: Click a New Threat","")</definedName>
    <definedName name="SelNewVal_D2" localSheetId="19">IF('D2'!CheckVal_D2,"Error: Click a New Threat","")</definedName>
    <definedName name="SelNewVal_D2" localSheetId="23">IF('D2'!CheckVal_D2,"Error: Click a New Threat","")</definedName>
    <definedName name="SelNewVal_Z2" localSheetId="13">IF(Work!CheckD2Val_DTABLES,"Error: Click a New Threat","")</definedName>
    <definedName name="SME_Rating_D3" localSheetId="14">OR(IF('D3'!$C$7='D3'!$C$30,1,0),AND(IF('D3'!$C$7='D3'!$C$31,1,0),OR(IF('D3'!$D$7&lt;'D3'!$D$31,1,0),IF('D3'!$D$7&gt;='D3'!$E$31,1,0))),AND(IF('D3'!$C$7='D3'!$C$32,1,0),OR(IF('D3'!$D$7&lt;'D3'!$D$32,1,0),IF('D3'!$D$7&gt;='D3'!$E$32,1,0))), AND(IF('D3'!$C$7='D3'!$C$33,1,0),OR(IF('D3'!$D$7&lt;'D3'!$D$33,1,0),IF('D3'!$D$7&gt;='D3'!$E$33,1,0))),AND(IF('D3'!$C$7='D3'!$C$34,1,0),OR(IF('D3'!$D$7&lt;'D3'!$D$34,1,0),IF('D3'!$D$7&gt;='D3'!$E$34,1,0))),AND(IF('D3'!$C$7='D3'!$C$35,1,0),OR(IF('D3'!$D$7&lt;'D3'!$D$35,1,0),IF('D3'!$D$7&gt;'D3'!$E$35,1,0))))</definedName>
    <definedName name="SME_Rating_D3">OR(IF('D3'!$C$7='D3'!$C$30,1,0),AND(IF('D3'!$C$7='D3'!$C$31,1,0),OR(IF('D3'!$D$7&lt;'D3'!$D$31,1,0),IF('D3'!$D$7&gt;='D3'!$E$31,1,0))),AND(IF('D3'!$C$7='D3'!$C$32,1,0),OR(IF('D3'!$D$7&lt;'D3'!$D$32,1,0),IF('D3'!$D$7&gt;='D3'!$E$32,1,0))), AND(IF('D3'!$C$7='D3'!$C$33,1,0),OR(IF('D3'!$D$7&lt;'D3'!$D$33,1,0),IF('D3'!$D$7&gt;='D3'!$E$33,1,0))),AND(IF('D3'!$C$7='D3'!$C$34,1,0),OR(IF('D3'!$D$7&lt;'D3'!$D$34,1,0),IF('D3'!$D$7&gt;='D3'!$E$34,1,0))),AND(IF('D3'!$C$7='D3'!$C$35,1,0),OR(IF('D3'!$D$7&lt;'D3'!$D$35,1,0),IF('D3'!$D$7&gt;'D3'!$E$35,1,0))))</definedName>
    <definedName name="SME_Rating_D4" localSheetId="15">OR(AND(IF('D4'!$C$7='D4'!$C$31,1,0),OR(IF('D4'!$D$7&lt;'D4'!$D$31,1,0),IF('D4'!$D$7&gt;='D4'!$E$31,1,0))),  AND(IF('D4'!$C$7='D4'!$C$32,1,0),OR(IF('D4'!$D$7&lt;'D4'!$D$32,1,0),IF('D4'!$D$7&gt;='D4'!$E$32,1,0))),  AND(IF('D4'!$C$7='D4'!$C$33,1,0),OR(IF('D4'!$D$7&lt;'D4'!$D$33,1,0),IF('D4'!$D$7&gt;='D4'!$E$33,1,0))),  AND(IF('D4'!$C$7='D4'!$C$34,1,0),OR(IF('D4'!$D$7&lt;'D4'!$D$34,1,0),IF('D4'!$D$7&gt;='D4'!$E$34,1,0))),  AND(IF('D4'!$C$7='D4'!$C$35,1,0),OR(IF('D4'!$D$7&lt;'D4'!$D$35,1,0),IF('D4'!$D$7&gt;'D4'!$E$35&gt;'D4'!D1048574,1,0))))</definedName>
    <definedName name="SME_Rating_D4">OR(AND(IF('D5'!$C$7='D5'!$C$31,1,0),OR(IF('D5'!$D$7&lt;'D5'!$D$31,1,0),IF('D5'!$D$7&gt;='D5'!$E$31,1,0))),  AND(IF('D5'!$C$7='D5'!$C$32,1,0),OR(IF('D5'!$D$7&lt;'D5'!$D$32,1,0),IF('D5'!$D$7&gt;='D5'!$E$32,1,0))),  AND(IF('D5'!$C$7='D5'!$C$33,1,0),OR(IF('D5'!$D$7&lt;'D5'!$D$33,1,0),IF('D5'!$D$7&gt;='D5'!$E$33,1,0))),  AND(IF('D5'!$C$7='D5'!$C$34,1,0),OR(IF('D5'!$D$7&lt;'D5'!$D$34,1,0),IF('D5'!$D$7&gt;='D5'!$E$34,1,0))),  AND(IF('D5'!$C$7='D5'!$C$35,1,0),OR(IF('D5'!$D$7&lt;'D5'!$D$35,1,0),IF('D5'!$D$7&gt;'D5'!$E$35&gt;'D5'!D1048574,1,0))))</definedName>
    <definedName name="SME_Rating_D5" localSheetId="16">OR(AND(IF('D5'!$C$7='D5'!$C$31,1,0),OR(IF('D5'!$D$7&lt;'D5'!$D$31,1,0),IF('D5'!$D$7&gt;='D5'!$E$31,1,0))),  AND(IF('D5'!$C$7='D5'!$C$32,1,0),OR(IF('D5'!$D$7&lt;'D5'!$D$32,1,0),IF('D5'!$D$7&gt;='D5'!$E$32,1,0))),  AND(IF('D5'!$C$7='D5'!$C$33,1,0),OR(IF('D5'!$D$7&lt;'D5'!$D$33,1,0),IF('D5'!$D$7&gt;='D5'!$E$33,1,0))),  AND(IF('D5'!$C$7='D5'!$C$34,1,0),OR(IF('D5'!$D$7&lt;'D5'!$D$34,1,0),IF('D5'!$D$7&gt;='D5'!$E$34,1,0))),  AND(IF('D5'!$C$7='D5'!$C$35,1,0),OR(IF('D5'!$D$7&lt;'D5'!$D$35,1,0),IF('D5'!$D$7&gt;'D5'!$E$35&gt;'D5'!E1048575,1,0))))</definedName>
    <definedName name="SME_Rating_D5">OR(AND(IF('D5'!$C$7='D5'!$C$31,1,0),OR(IF('D5'!$D$7&lt;'D5'!$D$31,1,0),IF('D5'!$D$7&gt;='D5'!$E$31,1,0))),  AND(IF('D5'!$C$7='D5'!$C$32,1,0),OR(IF('D5'!$D$7&lt;'D5'!$D$32,1,0),IF('D5'!$D$7&gt;='D5'!$E$32,1,0))),  AND(IF('D5'!$C$7='D5'!$C$33,1,0),OR(IF('D5'!$D$7&lt;'D5'!$D$33,1,0),IF('D5'!$D$7&gt;='D5'!$E$33,1,0))),  AND(IF('D5'!$C$7='D5'!$C$34,1,0),OR(IF('D5'!$D$7&lt;'D5'!$D$34,1,0),IF('D5'!$D$7&gt;='D5'!$E$34,1,0))),  AND(IF('D5'!$C$7='D5'!$C$35,1,0),OR(IF('D5'!$D$7&lt;'D5'!$D$35,1,0),IF('D5'!$D$7&gt;'D5'!$E$35&gt;'D5'!E1048575,1,0))))</definedName>
    <definedName name="SME_Rating_D6" localSheetId="17">OR(AND(IF('D6'!$C$7='D6'!$C$31,1,0),OR(IF('D6'!$D$7&lt;'D6'!$D$31,1,0),IF('D6'!$D$7&gt;='D6'!$E$31,1,0))),  AND(IF('D6'!$C$7='D6'!$C$32,1,0),OR(IF('D6'!$D$7&lt;'D6'!$D$32,1,0),IF('D6'!$D$7&gt;='D6'!$E$32,1,0))),  AND(IF('D6'!$C$7='D6'!$C$33,1,0),OR(IF('D6'!$D$7&lt;'D6'!$D$33,1,0),IF('D6'!$D$7&gt;='D6'!$E$33,1,0))),  AND(IF('D6'!$C$7='D6'!$C$34,1,0),OR(IF('D6'!$D$7&lt;'D6'!$D$34,1,0),IF('D6'!$D$7&gt;='D6'!$E$34,1,0))),  AND(IF('D6'!$C$7='D6'!$C$35,1,0),OR(IF('D6'!$D$7&lt;'D6'!$D$35,1,0),IF('D6'!$D$7&gt;'D6'!$E$35&gt;'D6'!D1048574,1,0))))</definedName>
    <definedName name="SME_Rating_D6">OR(AND(IF('D6'!$C$7='D6'!$C$31,1,0),OR(IF('D6'!$D$7&lt;'D6'!$D$31,1,0),IF('D6'!$D$7&gt;='D6'!$E$31,1,0))),  AND(IF('D6'!$C$7='D6'!$C$32,1,0),OR(IF('D6'!$D$7&lt;'D6'!$D$32,1,0),IF('D6'!$D$7&gt;='D6'!$E$32,1,0))),  AND(IF('D6'!$C$7='D6'!$C$33,1,0),OR(IF('D6'!$D$7&lt;'D6'!$D$33,1,0),IF('D6'!$D$7&gt;='D6'!$E$33,1,0))),  AND(IF('D6'!$C$7='D6'!$C$34,1,0),OR(IF('D6'!$D$7&lt;'D6'!$D$34,1,0),IF('D6'!$D$7&gt;='D6'!$E$34,1,0))),  AND(IF('D6'!$C$7='D6'!$C$35,1,0),OR(IF('D6'!$D$7&lt;'D6'!$D$35,1,0),IF('D6'!$D$7&gt;'D6'!$E$35&gt;'D6'!D1048574,1,0))))</definedName>
    <definedName name="SmeRatingD3">OR(IF(Work!$O$8='D3'!$C$30,1,0),AND(IF(Work!$O$8='D3'!$C$31,1,0),OR(IF(Work!$P$8&lt;'D3'!$D$31,1,0),IF(Work!$P$8&gt;='D3'!$E$31,1,0))),  AND(IF(Work!$O$8='D3'!$C$32,1,0),OR(IF(Work!$P$8&lt;'D3'!$D$32,1,0),IF(Work!$P$8&gt;='D3'!$E$32,1,0))),    AND(IF(Work!$O$8='D3'!$C$33,1,0),OR(IF(Work!$P$8&lt;'D3'!$D$33,1,0),IF(Work!$P$8&gt;='D3'!$E$33,1,0))),  AND(IF(Work!$O$8='D3'!$C$34,1,0),OR(IF(Work!$P$8&lt;'D3'!$D$34,1,0),IF(Work!$P$8&gt;='D3'!$E$34,1,0))),  AND(IF(Work!$O$8='D3'!$C$35,1,0),OR(IF(Work!$P$8&lt;'D3'!$D$35,1,0),IF(Work!$P$8&gt;'D3'!$E$35,1,0))))</definedName>
    <definedName name="SmeRatingD345">OR( SmeRatingD3, SmeRatingD4, SmeRatingD5)</definedName>
    <definedName name="SmeRatingD4">OR(IF(Work!$R$8='D4'!$C$30,1,0),AND(IF(Work!$R$8='D4'!$C$31,1,0),OR(IF(Work!$S$8&lt;'D4'!$D$31,1,0),IF(Work!$S$8&gt;='D4'!$E$31,1,0))),  AND(IF(Work!$R$8='D4'!$C$32,1,0),OR(IF(Work!$S$8&lt;'D4'!$D$32,1,0),IF(Work!$S$8&gt;='D4'!$E$32,1,0))),  AND(IF(Work!$R$8='D4'!$C$33,1,0),OR(IF(Work!$S$8&lt;'D4'!$D$33,1,0),IF(Work!$S$8&gt;='D4'!$E$33,1,0))),  AND(IF(Work!$R$8='D4'!$C$34,1,0),OR(IF(Work!$S$8&lt;'D4'!$D$34,1,0),IF(Work!$S$8&gt;='D4'!$E$34,1,0))),  AND(IF(Work!$R$8='D4'!$C$35,1,0),OR(IF(Work!$S$8&lt;'D4'!$D$35,1,0),IF(Work!$S$8&gt;'D4'!$E$35&gt;'D4'!E1048560,1,0))))</definedName>
    <definedName name="SmeRatingD5">OR(IF(Work!$U$8='D5'!$C$30,1,0),AND(IF(Work!$U$8='D5'!$C$31,1,0),OR(IF(Work!$V$8&lt;'D5'!$D$31,1,0),IF(Work!$V$8&gt;='D5'!$E$31,1,0))),  AND(IF(Work!$U$8='D5'!$C$32,1,0),OR(IF(Work!$V$8&lt;'D5'!$D$32,1,0),IF(Work!$V$8&gt;='D5'!$E$32,1,0))),  AND(IF(Work!$U$8='D5'!$C$33,1,0),OR(IF(Work!$V$8&lt;'D5'!$D$33,1,0),IF(Work!$V$8&gt;='D5'!$E$33,1,0))),  AND(IF(Work!$U$8='D5'!$C$34,1,0),OR(IF(Work!$V$8&lt;'D5'!$D$34,1,0),IF(Work!$V$8&gt;='D5'!$E$34,1,0))),  AND(IF(Work!$U$8='D5'!$C$35,1,0),OR(IF(Work!$V$8&lt;'D5'!$D$35,1,0),IF(Work!$V$8&gt;'D5'!$E$35,1,0))))</definedName>
    <definedName name="SmeRatingD6">OR(IF(Work!$X$8='D6'!$C$30,1,0),AND(IF(Work!$X$8='D6'!$C$31,1,0),OR(IF(Work!$Y$8&lt;'D6'!$D$31,1,0),IF(Work!$Y$8&gt;='D6'!$E$31,1,0))),  AND(IF(Work!$X$8='D6'!$C$32,1,0),OR(IF(Work!$Y$8&lt;'D6'!$D$32,1,0),IF(Work!$Y$8&gt;='D6'!$E$32,1,0))),    AND(IF(Work!$X$8='D6'!$C$33,1,0),OR(IF(Work!$Y$8&lt;'D6'!$D$33,1,0),IF(Work!$Y$8&gt;='D6'!$E$33,1,0))),  AND(IF(Work!$X$8='D6'!$C$34,1,0),OR(IF(Work!$Y$8&lt;'D6'!$D$34,1,0),IF(Work!$Y$8&gt;='D6'!$E$34,1,0))),  AND(IF(Work!$X$8='D6'!$C$35,1,0),OR(IF(Work!$Y$8&lt;'D6'!$D$35,1,0),IF(Work!$Y$8&gt;'D6'!$E$35,1,0))))</definedName>
    <definedName name="SmeRatingDTF2" localSheetId="43">OR(IF(Work!$AK$8='D3'!$C$30,1,0),AND(IF(Work!$AK$8='D3'!$C$31,1,0),OR(IF(Work!$AL$8&lt;'D3'!$D$31,1,0),IF(Work!$AL$8&gt;='D3'!$E$31,1,0))),AND(IF(Work!$AK$8='D3'!$C$32,1,0),OR(IF(Work!$AL$8&lt;'D3'!$D$32,1,0),IF(Work!$AL$8&gt;='D3'!$E$32,1,0))), AND(IF(Work!$AK$8='D3'!$C$33,1,0),OR(IF(Work!$AL$8&lt;'D3'!$D$33,1,0),IF(Work!$AL$8&gt;='D3'!$E$33,1,0))),AND(IF(Work!$AK$8='D3'!$C$34,1,0),OR(IF(Work!$AL$8&lt;'D3'!$D$34,1,0),IF(Work!$AL$8&gt;='D3'!$E$34,1,0))),AND(IF(Work!$AK$8='D3'!$C$35,1,0),OR(IF(Work!$AL$8&lt;'D3'!$D$35,1,0),IF(Work!$AL$8&gt;'D3'!$E$35,1,0))))</definedName>
    <definedName name="SmeRatingDTF2" localSheetId="44">OR(IF(Work!$AK$8='D3'!$C$30,1,0),AND(IF(Work!$AK$8='D3'!$C$31,1,0),OR(IF(Work!$AL$8&lt;'D3'!$D$31,1,0),IF(Work!$AL$8&gt;='D3'!$E$31,1,0))),AND(IF(Work!$AK$8='D3'!$C$32,1,0),OR(IF(Work!$AL$8&lt;'D3'!$D$32,1,0),IF(Work!$AL$8&gt;='D3'!$E$32,1,0))), AND(IF(Work!$AK$8='D3'!$C$33,1,0),OR(IF(Work!$AL$8&lt;'D3'!$D$33,1,0),IF(Work!$AL$8&gt;='D3'!$E$33,1,0))),AND(IF(Work!$AK$8='D3'!$C$34,1,0),OR(IF(Work!$AL$8&lt;'D3'!$D$34,1,0),IF(Work!$AL$8&gt;='D3'!$E$34,1,0))),AND(IF(Work!$AK$8='D3'!$C$35,1,0),OR(IF(Work!$AL$8&lt;'D3'!$D$35,1,0),IF(Work!$AL$8&gt;'D3'!$E$35,1,0))))</definedName>
    <definedName name="SmeRatingDTF2" localSheetId="9">OR(IF(Work!$AK$8='D3'!$C$30,1,0),AND(IF(Work!$AK$8='D3'!$C$31,1,0),OR(IF(Work!$AL$8&lt;'D3'!$D$31,1,0),IF(Work!$AL$8&gt;='D3'!$E$31,1,0))),AND(IF(Work!$AK$8='D3'!$C$32,1,0),OR(IF(Work!$AL$8&lt;'D3'!$D$32,1,0),IF(Work!$AL$8&gt;='D3'!$E$32,1,0))), AND(IF(Work!$AK$8='D3'!$C$33,1,0),OR(IF(Work!$AL$8&lt;'D3'!$D$33,1,0),IF(Work!$AL$8&gt;='D3'!$E$33,1,0))),AND(IF(Work!$AK$8='D3'!$C$34,1,0),OR(IF(Work!$AL$8&lt;'D3'!$D$34,1,0),IF(Work!$AL$8&gt;='D3'!$E$34,1,0))),AND(IF(Work!$AK$8='D3'!$C$35,1,0),OR(IF(Work!$AL$8&lt;'D3'!$D$35,1,0),IF(Work!$AL$8&gt;'D3'!$E$35,1,0))))</definedName>
    <definedName name="SmeRatingDTF2" localSheetId="10">OR(IF(Work!$AK$8='D3'!$C$30,1,0),AND(IF(Work!$AK$8='D3'!$C$31,1,0),OR(IF(Work!$AL$8&lt;'D3'!$D$31,1,0),IF(Work!$AL$8&gt;='D3'!$E$31,1,0))),AND(IF(Work!$AK$8='D3'!$C$32,1,0),OR(IF(Work!$AL$8&lt;'D3'!$D$32,1,0),IF(Work!$AL$8&gt;='D3'!$E$32,1,0))), AND(IF(Work!$AK$8='D3'!$C$33,1,0),OR(IF(Work!$AL$8&lt;'D3'!$D$33,1,0),IF(Work!$AL$8&gt;='D3'!$E$33,1,0))),AND(IF(Work!$AK$8='D3'!$C$34,1,0),OR(IF(Work!$AL$8&lt;'D3'!$D$34,1,0),IF(Work!$AL$8&gt;='D3'!$E$34,1,0))),AND(IF(Work!$AK$8='D3'!$C$35,1,0),OR(IF(Work!$AL$8&lt;'D3'!$D$35,1,0),IF(Work!$AL$8&gt;'D3'!$E$35,1,0))))</definedName>
    <definedName name="SmeRatingDTF2" localSheetId="0">OR(IF(Work!$AK$8='D3'!$C$30,1,0),AND(IF(Work!$AK$8='D3'!$C$31,1,0),OR(IF(Work!$AL$8&lt;'D3'!$D$31,1,0),IF(Work!$AL$8&gt;='D3'!$E$31,1,0))),AND(IF(Work!$AK$8='D3'!$C$32,1,0),OR(IF(Work!$AL$8&lt;'D3'!$D$32,1,0),IF(Work!$AL$8&gt;='D3'!$E$32,1,0))), AND(IF(Work!$AK$8='D3'!$C$33,1,0),OR(IF(Work!$AL$8&lt;'D3'!$D$33,1,0),IF(Work!$AL$8&gt;='D3'!$E$33,1,0))),AND(IF(Work!$AK$8='D3'!$C$34,1,0),OR(IF(Work!$AL$8&lt;'D3'!$D$34,1,0),IF(Work!$AL$8&gt;='D3'!$E$34,1,0))),AND(IF(Work!$AK$8='D3'!$C$35,1,0),OR(IF(Work!$AL$8&lt;'D3'!$D$35,1,0),IF(Work!$AL$8&gt;'D3'!$E$35,1,0))))</definedName>
    <definedName name="SmeRatingDTF5" localSheetId="6">OR(IF(Work!$AP$8='D3'!$C$30,1,0),AND(IF(Work!$AP$8='D3'!$C$31,1,0),OR(IF(Work!$AQ$8&lt;'D3'!$D$31,1,0),IF(Work!$AQ$8&gt;='D3'!$E$31,1,0))),AND(IF(Work!$AP$8='D3'!$C$32,1,0),OR(IF(Work!$AQ$8&lt;'D3'!$D$32,1,0),IF(Work!$AQ$8&gt;='D3'!$E$32,1,0))), AND(IF(Work!$AP$8='D3'!$C$33,1,0),OR(IF(Work!$AQ$8&lt;'D3'!$D$33,1,0),IF(Work!$AQ$8&gt;='D3'!$E$33,1,0))),AND(IF(Work!$AP$8='D3'!$C$34,1,0),OR(IF(Work!$AQ$8&lt;'D3'!$D$34,1,0),IF(Work!$AQ$8&gt;='D3'!$E$34,1,0))),AND(IF(Work!$AP$8='D3'!$C$35,1,0),OR(IF(Work!$AQ$8&lt;'D3'!$D$35,1,0),IF(Work!$AQ$8&gt;'D3'!$E$35,1,0))))</definedName>
    <definedName name="SmeRatingDTF5" localSheetId="39">OR(IF(Work!$AP$8='D3'!$C$30,1,0),AND(IF(Work!$AP$8='D3'!$C$31,1,0),OR(IF(Work!$AQ$8&lt;'D3'!$D$31,1,0),IF(Work!$AQ$8&gt;='D3'!$E$31,1,0))),AND(IF(Work!$AP$8='D3'!$C$32,1,0),OR(IF(Work!$AQ$8&lt;'D3'!$D$32,1,0),IF(Work!$AQ$8&gt;='D3'!$E$32,1,0))), AND(IF(Work!$AP$8='D3'!$C$33,1,0),OR(IF(Work!$AQ$8&lt;'D3'!$D$33,1,0),IF(Work!$AQ$8&gt;='D3'!$E$33,1,0))),AND(IF(Work!$AP$8='D3'!$C$34,1,0),OR(IF(Work!$AQ$8&lt;'D3'!$D$34,1,0),IF(Work!$AQ$8&gt;='D3'!$E$34,1,0))),AND(IF(Work!$AP$8='D3'!$C$35,1,0),OR(IF(Work!$AQ$8&lt;'D3'!$D$35,1,0),IF(Work!$AQ$8&gt;'D3'!$E$35,1,0))))</definedName>
    <definedName name="SmeRatingDTF5" localSheetId="43">OR(IF(Work!$AP$8='D3'!$C$30,1,0),AND(IF(Work!$AP$8='D3'!$C$31,1,0),OR(IF(Work!$AQ$8&lt;'D3'!$D$31,1,0),IF(Work!$AQ$8&gt;='D3'!$E$31,1,0))),AND(IF(Work!$AP$8='D3'!$C$32,1,0),OR(IF(Work!$AQ$8&lt;'D3'!$D$32,1,0),IF(Work!$AQ$8&gt;='D3'!$E$32,1,0))), AND(IF(Work!$AP$8='D3'!$C$33,1,0),OR(IF(Work!$AQ$8&lt;'D3'!$D$33,1,0),IF(Work!$AQ$8&gt;='D3'!$E$33,1,0))),AND(IF(Work!$AP$8='D3'!$C$34,1,0),OR(IF(Work!$AQ$8&lt;'D3'!$D$34,1,0),IF(Work!$AQ$8&gt;='D3'!$E$34,1,0))),AND(IF(Work!$AP$8='D3'!$C$35,1,0),OR(IF(Work!$AQ$8&lt;'D3'!$D$35,1,0),IF(Work!$AQ$8&gt;'D3'!$E$35,1,0))))</definedName>
    <definedName name="SmeRatingDTF5" localSheetId="44">OR(IF('_Table I7'!$AD$7='D3'!$C$30,1,0),AND(IF('_Table I7'!$AD$7='D3'!$C$31,1,0),OR(IF('_Table I7'!$AE$7&lt;'D3'!$D$31,1,0),IF('_Table I7'!$AE$7&gt;='D3'!$E$31,1,0))),AND(IF('_Table I7'!$AD$7='D3'!$C$32,1,0),OR(IF('_Table I7'!$AE$7&lt;'D3'!$D$32,1,0),IF('_Table I7'!$AE$7&gt;='D3'!$E$32,1,0))), AND(IF('_Table I7'!$AD$7='D3'!$C$33,1,0),OR(IF('_Table I7'!$AE$7&lt;'D3'!$D$33,1,0),IF('_Table I7'!$AE$7&gt;='D3'!$E$33,1,0))),AND(IF('_Table I7'!$AD$7='D3'!$C$34,1,0),OR(IF('_Table I7'!$AE$7&lt;'D3'!$D$34,1,0),IF('_Table I7'!$AE$7&gt;='D3'!$E$34,1,0))),AND(IF('_Table I7'!$AD$7='D3'!$C$35,1,0),OR(IF('_Table I7'!$AE$7&lt;'D3'!$D$35,1,0),IF('_Table I7'!$AE$7&gt;'D3'!$E$35,1,0))))</definedName>
    <definedName name="SmeRatingDTF5" localSheetId="12">OR(IF(Work!$AP$8='D3'!$C$30,1,0),AND(IF(Work!$AP$8='D3'!$C$31,1,0),OR(IF(Work!$AQ$8&lt;'D3'!$D$31,1,0),IF(Work!$AQ$8&gt;='D3'!$E$31,1,0))),AND(IF(Work!$AP$8='D3'!$C$32,1,0),OR(IF(Work!$AQ$8&lt;'D3'!$D$32,1,0),IF(Work!$AQ$8&gt;='D3'!$E$32,1,0))), AND(IF(Work!$AP$8='D3'!$C$33,1,0),OR(IF(Work!$AQ$8&lt;'D3'!$D$33,1,0),IF(Work!$AQ$8&gt;='D3'!$E$33,1,0))),AND(IF(Work!$AP$8='D3'!$C$34,1,0),OR(IF(Work!$AQ$8&lt;'D3'!$D$34,1,0),IF(Work!$AQ$8&gt;='D3'!$E$34,1,0))),AND(IF(Work!$AP$8='D3'!$C$35,1,0),OR(IF(Work!$AQ$8&lt;'D3'!$D$35,1,0),IF(Work!$AQ$8&gt;'D3'!$E$35,1,0))))</definedName>
    <definedName name="SmeRatingDTF5" localSheetId="9">OR(IF(Work!$AP$8='D3'!$C$30,1,0),AND(IF(Work!$AP$8='D3'!$C$31,1,0),OR(IF(Work!$AQ$8&lt;'D3'!$D$31,1,0),IF(Work!$AQ$8&gt;='D3'!$E$31,1,0))),AND(IF(Work!$AP$8='D3'!$C$32,1,0),OR(IF(Work!$AQ$8&lt;'D3'!$D$32,1,0),IF(Work!$AQ$8&gt;='D3'!$E$32,1,0))), AND(IF(Work!$AP$8='D3'!$C$33,1,0),OR(IF(Work!$AQ$8&lt;'D3'!$D$33,1,0),IF(Work!$AQ$8&gt;='D3'!$E$33,1,0))),AND(IF(Work!$AP$8='D3'!$C$34,1,0),OR(IF(Work!$AQ$8&lt;'D3'!$D$34,1,0),IF(Work!$AQ$8&gt;='D3'!$E$34,1,0))),AND(IF(Work!$AP$8='D3'!$C$35,1,0),OR(IF(Work!$AQ$8&lt;'D3'!$D$35,1,0),IF(Work!$AQ$8&gt;'D3'!$E$35,1,0))))</definedName>
    <definedName name="SmeRatingDTF5" localSheetId="10">OR(IF('_Table I7'!$AD$7='D3'!$C$30,1,0),AND(IF('_Table I7'!$AD$7='D3'!$C$31,1,0),OR(IF('_Table I7'!$AE$7&lt;'D3'!$D$31,1,0),IF('_Table I7'!$AE$7&gt;='D3'!$E$31,1,0))),AND(IF('_Table I7'!$AD$7='D3'!$C$32,1,0),OR(IF('_Table I7'!$AE$7&lt;'D3'!$D$32,1,0),IF('_Table I7'!$AE$7&gt;='D3'!$E$32,1,0))), AND(IF('_Table I7'!$AD$7='D3'!$C$33,1,0),OR(IF('_Table I7'!$AE$7&lt;'D3'!$D$33,1,0),IF('_Table I7'!$AE$7&gt;='D3'!$E$33,1,0))),AND(IF('_Table I7'!$AD$7='D3'!$C$34,1,0),OR(IF('_Table I7'!$AE$7&lt;'D3'!$D$34,1,0),IF('_Table I7'!$AE$7&gt;='D3'!$E$34,1,0))),AND(IF('_Table I7'!$AD$7='D3'!$C$35,1,0),OR(IF('_Table I7'!$AE$7&lt;'D3'!$D$35,1,0),IF('_Table I7'!$AE$7&gt;'D3'!$E$35,1,0))))</definedName>
    <definedName name="SmeRatingDTF5" localSheetId="0">OR(IF(Work!$AP$8='D3'!$C$30,1,0),AND(IF(Work!$AP$8='D3'!$C$31,1,0),OR(IF(Work!$AQ$8&lt;'D3'!$D$31,1,0),IF(Work!$AQ$8&gt;='D3'!$E$31,1,0))),AND(IF(Work!$AP$8='D3'!$C$32,1,0),OR(IF(Work!$AQ$8&lt;'D3'!$D$32,1,0),IF(Work!$AQ$8&gt;='D3'!$E$32,1,0))), AND(IF(Work!$AP$8='D3'!$C$33,1,0),OR(IF(Work!$AQ$8&lt;'D3'!$D$33,1,0),IF(Work!$AQ$8&gt;='D3'!$E$33,1,0))),AND(IF(Work!$AP$8='D3'!$C$34,1,0),OR(IF(Work!$AQ$8&lt;'D3'!$D$34,1,0),IF(Work!$AQ$8&gt;='D3'!$E$34,1,0))),AND(IF(Work!$AP$8='D3'!$C$35,1,0),OR(IF(Work!$AQ$8&lt;'D3'!$D$35,1,0),IF(Work!$AQ$8&gt;'D3'!$E$35,1,0))))</definedName>
    <definedName name="SmeRatingE">IF(e_na,(0),IF(OR(IF(Work!$AF$8='E4'!$C$16,IF(AND(IF(Work!$AG$8&lt;=100,10),IF(Work!$AG$8&gt;=96,1,0)),1,0),0),(0),IF(Work!$AF$8='E4'!$C$17,IF(AND(IF(Work!$AG$8&lt;96,1,0),IF(Work!$AG$8&gt;=80,1,0)),1,0),0),(0),IF(Work!$AF$8='E4'!$C$18,IF(AND(IF(Work!$AG$8&lt;80,1,0),IF(Work!$AG$8&gt;=21,1,0)),1,0),0),(0),IF(Work!$AF$8='E4'!$C$19,IF(AND(IF(Work!$AG$8&lt;21,1,0),IF(Work!$AG$8&gt;=5,1,0)),1,0),0),(0),IF(Work!$AF$8='E4'!$C$20,IF(AND(IF(Work!$AG$8&lt;5,1,0),IF(Work!$AG$8&gt;=0,1,0)),1,0),0)),1,0))</definedName>
    <definedName name="SmeRatingF2" localSheetId="22">OR(IF('F2'!$C$7='F2'!$C$17,1,0),AND(IF('F2'!$C$7='F2'!$C$18,1,0),OR(IF('F2'!$D$7&lt;'F2'!$D$18,1,0),IF('F2'!$D$7&gt;='F2'!$E$18,1,0))),AND(IF('F2'!$C$7='D3'!$C$32,1,0),OR(IF('F2'!$D$7&lt;'F2'!$D$19,1,0),IF('F2'!$D$7&gt;='D3'!$E$32,1,0))), AND(IF('F2'!$C$7='F2'!$C$20,1,0),OR(IF('F2'!$D$7&lt;'F2'!$D$20,1,0),IF('F2'!$D$7&gt;='D3'!$E$33,1,0))),AND(IF('F2'!$C$7='D3'!$C$34,1,0),OR(IF('F2'!$D$7&lt;'D3'!$D$34,1,0),IF('F2'!$D$7&gt;='D3'!$E$34,1,0))),AND(IF('F2'!$C$7='D3'!$C$35,1,0),OR(IF('F2'!$D$7&lt;'D3'!$D$35,1,0),IF('F2'!$D$7&gt;'D3'!$E$35,1,0))))</definedName>
    <definedName name="SmeRatingF2">IF(f2_na,(0),IF(OR(IF(Work!$AK$8='F2'!$C$18,IF(AND(IF(Work!$AL$8&lt;=100,10),IF(Work!$AL$8&gt;=96,1,0)),1,0),0),(0),IF(Work!$AK$8='F2'!$C$19,IF(AND(IF(Work!$AL$8&lt;96,1,0),IF(Work!$AL$8&gt;=80,1,0)),1,0),0),(0),IF(Work!$AK$8='F2'!$C$20,IF(AND(IF(Work!$AL$8&lt;80,1,0),IF(Work!$AL$8&gt;=21,1,0)),1,0),0),(0),IF(Work!$AK$8='F2'!$C$21,IF(AND(IF(Work!$AL$8&lt;21,1,0),IF(Work!$AL$8&gt;=5,1,0)),1,0),0),(0),IF(Work!$AK$8='F2'!$C$22,IF(AND(IF(Work!$AL$8&lt;5,1,0),IF(Work!$AL$8&gt;=0,1,0)),1,0),0)),1,0))</definedName>
    <definedName name="SmeRatingG2" localSheetId="31">OR(IF(Work!$AW$8='D3'!$C$30,1,0),AND(IF(Work!$AW$8='D3'!$C$31,1,0),OR(IF(Work!$AX$8&lt;'D3'!$D$31,1,0),IF(Work!$AX$8&gt;='D3'!$E$31,1,0))),  AND(IF(Work!$AW$8='D3'!$C$32,1,0),OR(IF(Work!$AX$8&lt;'D3'!$D$32,1,0),IF(Work!$AX$8&gt;='D3'!$E$32,1,0))),    AND(IF(Work!$AW$8='D3'!$C$33,1,0),OR(IF(Work!$AX$8&lt;'D3'!$D$33,1,0),IF(Work!$AX$8&gt;='D3'!$E$33,1,0))),  AND(IF(Work!$AW$8='D3'!$C$34,1,0),OR(IF(Work!$AX$8&lt;'D3'!$D$34,1,0),IF(Work!$AX$8&gt;='D3'!$E$34,1,0))),  AND(IF(Work!$AW$8='D3'!$C$35,1,0),OR(IF(Work!$AX$8&lt;'D3'!$D$35,1,0),IF(Work!$AX$8&gt;'D3'!$E$35,1,0))))</definedName>
    <definedName name="SmeRatingG2" localSheetId="0">OR(IF(Work!$AW$8='D3'!$C$30,1,0),AND(IF(Work!$AW$8='D3'!$C$31,1,0),OR(IF(Work!$AX$8&lt;'D3'!$D$31,1,0),IF(Work!$AX$8&gt;='D3'!$E$31,1,0))),  AND(IF(Work!$AW$8='D3'!$C$32,1,0),OR(IF(Work!$AX$8&lt;'D3'!$D$32,1,0),IF(Work!$AX$8&gt;='D3'!$E$32,1,0))),    AND(IF(Work!$AW$8='D3'!$C$33,1,0),OR(IF(Work!$AX$8&lt;'D3'!$D$33,1,0),IF(Work!$AX$8&gt;='D3'!$E$33,1,0))),  AND(IF(Work!$AW$8='D3'!$C$34,1,0),OR(IF(Work!$AX$8&lt;'D3'!$D$34,1,0),IF(Work!$AX$8&gt;='D3'!$E$34,1,0))),  AND(IF(Work!$AW$8='D3'!$C$35,1,0),OR(IF(Work!$AX$8&lt;'D3'!$D$35,1,0),IF(Work!$AX$8&gt;'D3'!$E$35,1,0))))</definedName>
    <definedName name="SmeRatingG3" localSheetId="44">OR(IF('_Table I7'!$AL$8='D3'!$C$30,1,0),AND(IF('_Table I7'!$AL$8='D3'!$C$31,1,0),OR(IF('_Table I7'!$AM$8&lt;'D3'!$D$31,1,0),IF('_Table I7'!$AM$8&gt;='D3'!$E$31,1,0))),  AND(IF('_Table I7'!$AL$8='D3'!$C$32,1,0),OR(IF('_Table I7'!$AM$8&lt;'D3'!$D$32,1,0),IF('_Table I7'!$AM$8&gt;='D3'!$E$32,1,0))),    AND(IF('_Table I7'!$AL$8='D3'!$C$33,1,0),OR(IF('_Table I7'!$AM$8&lt;'D3'!$D$33,1,0),IF('_Table I7'!$AM$8&gt;='D3'!$E$33,1,0))),  AND(IF('_Table I7'!$AL$8='D3'!$C$34,1,0),OR(IF('_Table I7'!$AM$8&lt;'D3'!$D$34,1,0),IF('_Table I7'!$AM$8&gt;='D3'!$E$34,1,0))),  AND(IF('_Table I7'!$AL$8='D3'!$C$35,1,0),OR(IF('_Table I7'!$AM$8&lt;'D3'!$D$35,1,0), IF('_Table I7'!$AM$8&gt;'D3'!$E$35,1,0))))</definedName>
    <definedName name="SmeRatingG3" localSheetId="31">OR(IF(Work!$AY$8='D3'!$C$30,1,0),AND(IF(Work!$AY$8='D3'!$C$31,1,0),OR(IF(Work!$AZ$8&lt;'D3'!$D$31,1,0),IF(Work!$AZ$8&gt;='D3'!$E$31,1,0))),  AND(IF(Work!$AY$8='D3'!$C$32,1,0),OR(IF(Work!$AZ$8&lt;'D3'!$D$32,1,0),IF(Work!$AZ$8&gt;='D3'!$E$32,1,0))),    AND(IF(Work!$AY$8='D3'!$C$33,1,0),OR(IF(Work!$AZ$8&lt;'D3'!$D$33,1,0),IF(Work!$AZ$8&gt;='D3'!$E$33,1,0))),  AND(IF(Work!$AY$8='D3'!$C$34,1,0),OR(IF(Work!$AZ$8&lt;'D3'!$D$34,1,0),IF(Work!$AZ$8&gt;='D3'!$E$34,1,0))),  AND(IF(Work!$AY$8='D3'!$C$35,1,0),OR(IF(Work!$AZ$8&lt;'D3'!$D$35,1,0), IF(Work!$AZ$8&gt;'D3'!$E$35,1,0))))</definedName>
    <definedName name="SmeRatingG3" localSheetId="10">OR(IF('_Table I7'!$AL$8='D3'!$C$30,1,0),AND(IF('_Table I7'!$AL$8='D3'!$C$31,1,0),OR(IF('_Table I7'!$AM$8&lt;'D3'!$D$31,1,0),IF('_Table I7'!$AM$8&gt;='D3'!$E$31,1,0))),  AND(IF('_Table I7'!$AL$8='D3'!$C$32,1,0),OR(IF('_Table I7'!$AM$8&lt;'D3'!$D$32,1,0),IF('_Table I7'!$AM$8&gt;='D3'!$E$32,1,0))),    AND(IF('_Table I7'!$AL$8='D3'!$C$33,1,0),OR(IF('_Table I7'!$AM$8&lt;'D3'!$D$33,1,0),IF('_Table I7'!$AM$8&gt;='D3'!$E$33,1,0))),  AND(IF('_Table I7'!$AL$8='D3'!$C$34,1,0),OR(IF('_Table I7'!$AM$8&lt;'D3'!$D$34,1,0),IF('_Table I7'!$AM$8&gt;='D3'!$E$34,1,0))),  AND(IF('_Table I7'!$AL$8='D3'!$C$35,1,0),OR(IF('_Table I7'!$AM$8&lt;'D3'!$D$35,1,0), IF('_Table I7'!$AM$8&gt;'D3'!$E$35,1,0))))</definedName>
    <definedName name="SmeRatingG3" localSheetId="0">OR(IF(Work!$AY$8='D3'!$C$30,1,0),AND(IF(Work!$AY$8='D3'!$C$31,1,0),OR(IF(Work!$AZ$8&lt;'D3'!$D$31,1,0),IF(Work!$AZ$8&gt;='D3'!$E$31,1,0))),  AND(IF(Work!$AY$8='D3'!$C$32,1,0),OR(IF(Work!$AZ$8&lt;'D3'!$D$32,1,0),IF(Work!$AZ$8&gt;='D3'!$E$32,1,0))),    AND(IF(Work!$AY$8='D3'!$C$33,1,0),OR(IF(Work!$AZ$8&lt;'D3'!$D$33,1,0),IF(Work!$AZ$8&gt;='D3'!$E$33,1,0))),  AND(IF(Work!$AY$8='D3'!$C$34,1,0),OR(IF(Work!$AZ$8&lt;'D3'!$D$34,1,0),IF(Work!$AZ$8&gt;='D3'!$E$34,1,0))),  AND(IF(Work!$AY$8='D3'!$C$35,1,0),OR(IF(Work!$AZ$8&lt;'D3'!$D$35,1,0), IF(Work!$AZ$8&gt;'D3'!$E$35,1,0))))</definedName>
    <definedName name="SmeRatingG4" localSheetId="0">OR(IF(Work!$BA$8='D3'!$C$30,1,0),AND(IF(Work!$BA$8='D3'!$C$31,1,0),OR(IF(Work!$BB$8&lt;'D3'!$D$31,1,0),IF(Work!$BB$8&gt;='D3'!$E$31,1,0))),  AND(IF(Work!$BA$8='D3'!$C$32,1,0),OR(IF(Work!$BB$8&lt;'D3'!$D$32,1,0),IF(Work!$BB$8&gt;='D3'!$E$32,1,0))),    AND(IF(Work!$BA$8='D3'!$C$33,1,0),OR(IF(Work!$BB$8&lt;'D3'!$D$33,1,0),IF(Work!$BB$8&gt;='D3'!$E$33,1,0))),  AND(IF(Work!$BA$8='D3'!$C$34,1,0),OR(IF(Work!$BB$8&lt;'D3'!$D$34,1,0),IF(Work!$BB$8&gt;='D3'!$E$34,1,0))),  AND(IF(Work!$BA$8='D3'!$C$35,1,0),OR(IF(Work!$BB$8&lt;'D3'!$D$35,1,0),IF(Work!$BB$8&gt;'D3'!$E$35,1,0))))</definedName>
    <definedName name="SmeRatingG4">OR(IF(G5_Concept_1!#REF!='D3'!$C$30,1,0),AND(IF(G5_Concept_1!#REF!='D3'!$C$31,1,0),OR(IF(G5_Concept_1!#REF!&lt;'D3'!$D$31,1,0),IF(G5_Concept_1!#REF!&gt;='D3'!$E$31,1,0))),  AND(IF(G5_Concept_1!#REF!='D3'!$C$32,1,0),OR(IF(G5_Concept_1!#REF!&lt;'D3'!$D$32,1,0),IF(G5_Concept_1!#REF!&gt;='D3'!$E$32,1,0))),    AND(IF(G5_Concept_1!#REF!='D3'!$C$33,1,0),OR(IF(G5_Concept_1!#REF!&lt;'D3'!$D$33,1,0),IF(G5_Concept_1!#REF!&gt;='D3'!$E$33,1,0))),  AND(IF(G5_Concept_1!#REF!='D3'!$C$34,1,0),OR(IF(G5_Concept_1!#REF!&lt;'D3'!$D$34,1,0),IF(G5_Concept_1!#REF!&gt;='D3'!$E$34,1,0))),  AND(IF(G5_Concept_1!#REF!='D3'!$C$35,1,0),OR(IF(G5_Concept_1!#REF!&lt;'D3'!$D$35,1,0),IF(G5_Concept_1!#REF!&gt;'D3'!$E$35,1,0))))</definedName>
    <definedName name="SmeRatingH3" localSheetId="0">OR(IF(Work!$BK$8='H3'!$C$17,1,0), AND(IF(Work!$BK$8='H3'!$C$18,1,0),OR(IF(Work!$BL$8&lt;'H3'!$D$18,1,0),IF(Work!$BL$8&gt;='H3'!$E$18,1,0))),  AND(IF(Work!$BK$8='H3'!$C$19,1,0),OR(IF(Work!$BL$8&lt;'H3'!$D$19,1,0),IF(Work!$BL$8&gt;='H3'!$E$19,1,0))),    AND(IF(Work!$BK$8='H3'!$C$20,1,0),OR(IF(Work!$BL$8&lt;'H3'!$D$20,1,0),IF(Work!$BL$8&gt;='H3'!$E$20,1,0))),  AND(IF(Work!$BK$8='H3'!$C$21,1,0),OR(IF(Work!$BL$8&lt;'H3'!$D$21,1,0),IF(Work!$BL$8&gt;='H3'!$E$21,1,0))),  AND(IF(Work!$BK$8='H3'!$C$22,1,0),OR(IF(Work!$BL$8&lt;'H3'!$D$22,1,0),IF(Work!$BL$8&gt;'H3'!$E$22,1,0))))</definedName>
    <definedName name="SmeRatingI3" localSheetId="43">OR(IF(Work!#REF!='I3'!$C$17,1,0), AND(IF(Work!#REF!='I3'!$C$18,1,0),OR(IF(Work!#REF!&lt;'I3'!#REF!,1,0),IF(Work!#REF!&gt;='I3'!$E$18,1,0))),  AND(IF(Work!#REF!='I3'!$C$19,1,0),OR(IF(Work!#REF!&lt;'I3'!#REF!,1,0),IF(Work!#REF!&gt;='I3'!$E$19,1,0))),    AND(IF(Work!#REF!='I3'!$C$20,1,0),OR(IF(Work!#REF!&lt;'I3'!#REF!,1,0),IF(Work!#REF!&gt;='I3'!$E$20,1,0))),  AND(IF(Work!#REF!='I3'!$C$21,1,0),OR(IF(Work!#REF!&lt;'I3'!#REF!,1,0),IF(Work!#REF!&gt;='I3'!$E$21,1,0))),  AND(IF(Work!#REF!='I3'!$C$22,1,0),OR(IF(Work!#REF!&lt;'I3'!#REF!,1,0),IF(Work!#REF!&gt;'I3'!$E$22,1,0))))</definedName>
    <definedName name="SmeRatingI3" localSheetId="44">OR(IF(Work!#REF!='I3'!$C$17,1,0), AND(IF(Work!#REF!='I3'!$C$18,1,0),OR(IF(Work!#REF!&lt;'I3'!#REF!,1,0),IF(Work!#REF!&gt;='I3'!$E$18,1,0))),  AND(IF(Work!#REF!='I3'!$C$19,1,0),OR(IF(Work!#REF!&lt;'I3'!#REF!,1,0),IF(Work!#REF!&gt;='I3'!$E$19,1,0))),    AND(IF(Work!#REF!='I3'!$C$20,1,0),OR(IF(Work!#REF!&lt;'I3'!#REF!,1,0),IF(Work!#REF!&gt;='I3'!$E$20,1,0))),  AND(IF(Work!#REF!='I3'!$C$21,1,0),OR(IF(Work!#REF!&lt;'I3'!#REF!,1,0),IF(Work!#REF!&gt;='I3'!$E$21,1,0))),  AND(IF(Work!#REF!='I3'!$C$22,1,0),OR(IF(Work!#REF!&lt;'I3'!#REF!,1,0),IF(Work!#REF!&gt;'I3'!$E$22,1,0))))</definedName>
    <definedName name="SmeRatingI3" localSheetId="9">OR(IF(Work!#REF!='I3'!$C$17,1,0), AND(IF(Work!#REF!='I3'!$C$18,1,0),OR(IF(Work!#REF!&lt;'I3'!#REF!,1,0),IF(Work!#REF!&gt;='I3'!$E$18,1,0))),  AND(IF(Work!#REF!='I3'!$C$19,1,0),OR(IF(Work!#REF!&lt;'I3'!#REF!,1,0),IF(Work!#REF!&gt;='I3'!$E$19,1,0))),    AND(IF(Work!#REF!='I3'!$C$20,1,0),OR(IF(Work!#REF!&lt;'I3'!#REF!,1,0),IF(Work!#REF!&gt;='I3'!$E$20,1,0))),  AND(IF(Work!#REF!='I3'!$C$21,1,0),OR(IF(Work!#REF!&lt;'I3'!#REF!,1,0),IF(Work!#REF!&gt;='I3'!$E$21,1,0))),  AND(IF(Work!#REF!='I3'!$C$22,1,0),OR(IF(Work!#REF!&lt;'I3'!#REF!,1,0),IF(Work!#REF!&gt;'I3'!$E$22,1,0))))</definedName>
    <definedName name="SmeRatingI3" localSheetId="10">OR(IF(Work!#REF!='I3'!$C$17,1,0), AND(IF(Work!#REF!='I3'!$C$18,1,0),OR(IF(Work!#REF!&lt;'I3'!#REF!,1,0),IF(Work!#REF!&gt;='I3'!$E$18,1,0))),  AND(IF(Work!#REF!='I3'!$C$19,1,0),OR(IF(Work!#REF!&lt;'I3'!#REF!,1,0),IF(Work!#REF!&gt;='I3'!$E$19,1,0))),    AND(IF(Work!#REF!='I3'!$C$20,1,0),OR(IF(Work!#REF!&lt;'I3'!#REF!,1,0),IF(Work!#REF!&gt;='I3'!$E$20,1,0))),  AND(IF(Work!#REF!='I3'!$C$21,1,0),OR(IF(Work!#REF!&lt;'I3'!#REF!,1,0),IF(Work!#REF!&gt;='I3'!$E$21,1,0))),  AND(IF(Work!#REF!='I3'!$C$22,1,0),OR(IF(Work!#REF!&lt;'I3'!#REF!,1,0),IF(Work!#REF!&gt;'I3'!$E$22,1,0))))</definedName>
    <definedName name="SmeRatingI3" localSheetId="0">OR(IF(Work!#REF!='I3'!$C$17,1,0), AND(IF(Work!#REF!='I3'!$C$18,1,0),OR(IF(Work!#REF!&lt;'I3'!#REF!,1,0),IF(Work!#REF!&gt;='I3'!$E$18,1,0))),  AND(IF(Work!#REF!='I3'!$C$19,1,0),OR(IF(Work!#REF!&lt;'I3'!#REF!,1,0),IF(Work!#REF!&gt;='I3'!$E$19,1,0))),    AND(IF(Work!#REF!='I3'!$C$20,1,0),OR(IF(Work!#REF!&lt;'I3'!#REF!,1,0),IF(Work!#REF!&gt;='I3'!$E$20,1,0))),  AND(IF(Work!#REF!='I3'!$C$21,1,0),OR(IF(Work!#REF!&lt;'I3'!#REF!,1,0),IF(Work!#REF!&gt;='I3'!$E$21,1,0))),  AND(IF(Work!#REF!='I3'!$C$22,1,0),OR(IF(Work!#REF!&lt;'I3'!#REF!,1,0),IF(Work!#REF!&gt;'I3'!$E$22,1,0))))</definedName>
    <definedName name="Standard">IF(Algorithm = "Standard", 1, 0)</definedName>
    <definedName name="T_7">IFERROR(IF(AND(IF(Work!$V$8&lt;0,0,1),IF(Work!$V$8&gt;100,0,1)), 1,0) * Work!$V$8,0)</definedName>
    <definedName name="threadlike">IF(Standard, "TBD", IF(Adversarial,  AVERAGE(Work!$AX1,Work!$BB1),  AVERAGE(Work!$AZ1,Work!$BB1) ) )</definedName>
    <definedName name="U_7">IFERROR(IF(AND(IF(Work!$W$8&lt;0,0,1),IF(Work!$W$8&gt;100,0,1)), 1,0) * Work!$W$8,0)</definedName>
    <definedName name="W_7">IFERROR(IF(AND(IF(Work!$Y$8&lt;0,0,1),IF(Work!$Y$8&gt;100,0,1)), 1,0) * Work!$Y$8,0)</definedName>
    <definedName name="wAVG_c">( (InScope*Work!$AA$8*Work!$Z$8 + e_nna*Work!$AH$8*Work!$AG$8  + Work!$AT$8*Work!$AS$8 + g23_wt*Work!$BC$8 )/(InScope*Work!$AA$8 + e_nna*Work!$AH$8 + Work!$AT$8 + g23_wt) )</definedName>
    <definedName name="wAVG_F">(Work!$AM$8*f2_RatNum + Work!$AR$8*f5_RatNum)/(Work!$AM$8 + Work!$AR$8 )</definedName>
    <definedName name="wAVG_G">(Work!$AM$8*Work!$AL$8 + Work!$AR$8*Work!$AQ$8)/(Work!$AM$8 + Work!$AR$8)</definedName>
    <definedName name="wRMS">IF(Algorithm = "Weighted RMS", 1, 0)</definedName>
    <definedName name="wRMS_c">SQRT( (InScope*Work!$AA$8*Work!$Z$8*Work!$Z$8 + e_nna*Work!$AH$8*Work!$AG$8*Work!$AG$8  + Work!$AT$8*Work!$AS$8*Work!$AS$8 + g23_wt*Work!$BC$8*Work!$BC$8 )/(InScope*Work!$AA$8 + Work!$AH$8 + Work!$AT$8 + g23_wt) )</definedName>
    <definedName name="wRMS_F">SQRT( (Work!$AM$8*f2_RatNum*f2_RatNum + Work!$AR$8*f5_RatNum*f5_RatNum)/(Work!$AM$8 + Work!$AR$8) )</definedName>
    <definedName name="wRMS_G">SQRT( (Work!$AM$8*Work!$AL$8*Work!$AL$8 + Work!$AR$8*Work!$AQ$8*Work!$AQ$8)/(Work!$AM$8 + Work!$AR$8) )</definedName>
    <definedName name="xxxxxx">IF(Adversarial,VALUE(CONCATENATE(IF(#REF!='D5'!$C$30,1111,""),IF(#REF!='D5'!$C$31,3,""),IF(#REF!='D5'!$C$32,13,""),IF(#REF!='D5'!$C$33,51,""),IF(#REF!='D5'!$C$34,88,""),IF(#REF!='D5'!$C$35,98,""))),"n/a")</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BS29" i="4" l="1"/>
  <c r="BR19" i="4"/>
  <c r="BN19" i="4"/>
  <c r="BM19" i="4"/>
  <c r="BH19" i="4"/>
  <c r="AV19" i="4"/>
  <c r="AU19" i="4"/>
  <c r="AI19" i="4"/>
  <c r="AB19" i="4"/>
  <c r="BR18" i="4"/>
  <c r="BN18" i="4"/>
  <c r="BM18" i="4"/>
  <c r="BH18" i="4"/>
  <c r="AV18" i="4"/>
  <c r="AU18" i="4"/>
  <c r="AI18" i="4"/>
  <c r="AB18" i="4"/>
  <c r="BR17" i="4"/>
  <c r="BN17" i="4"/>
  <c r="BM17" i="4"/>
  <c r="BH17" i="4"/>
  <c r="AV17" i="4"/>
  <c r="AU17" i="4"/>
  <c r="AI17" i="4"/>
  <c r="AB17" i="4"/>
  <c r="AH22" i="11" l="1"/>
  <c r="AH20" i="11"/>
  <c r="AH24" i="11"/>
  <c r="AK6" i="11"/>
  <c r="AH18" i="11"/>
  <c r="AH15" i="11"/>
  <c r="AI6" i="11"/>
  <c r="AC6" i="11"/>
  <c r="O8" i="11" l="1"/>
  <c r="O7" i="11"/>
  <c r="O6" i="11"/>
  <c r="Q8" i="11"/>
  <c r="Q7" i="11"/>
  <c r="Q6" i="11"/>
  <c r="S8" i="11"/>
  <c r="S7" i="11"/>
  <c r="S6" i="11"/>
  <c r="C35" i="3"/>
  <c r="C34" i="3"/>
  <c r="C33" i="3"/>
  <c r="C32" i="3"/>
  <c r="C31" i="3"/>
  <c r="C35" i="5"/>
  <c r="C34" i="5"/>
  <c r="C33" i="5"/>
  <c r="C32" i="5"/>
  <c r="C31" i="5"/>
  <c r="C30" i="5"/>
  <c r="C30" i="6"/>
  <c r="U6" i="4" s="1"/>
  <c r="C35" i="6"/>
  <c r="C34" i="6"/>
  <c r="C33" i="6"/>
  <c r="C32" i="6"/>
  <c r="C31" i="6"/>
  <c r="C36" i="7"/>
  <c r="C36" i="5"/>
  <c r="C36" i="3"/>
  <c r="R6" i="4" l="1"/>
  <c r="L6" i="4"/>
  <c r="B10" i="3"/>
  <c r="B11" i="3" s="1"/>
  <c r="B12" i="3" s="1"/>
  <c r="B13" i="3" s="1"/>
  <c r="B14" i="3" s="1"/>
  <c r="B15" i="3" s="1"/>
  <c r="B16" i="3" s="1"/>
  <c r="B17" i="3" s="1"/>
  <c r="B18" i="3" s="1"/>
  <c r="B19" i="3" s="1"/>
  <c r="B20" i="3" s="1"/>
  <c r="B21" i="3" s="1"/>
  <c r="B22" i="3" s="1"/>
  <c r="B23" i="3" s="1"/>
  <c r="B24" i="3" s="1"/>
  <c r="B25" i="3" s="1"/>
  <c r="B26" i="3" s="1"/>
  <c r="B27" i="3" s="1"/>
  <c r="B28" i="3" s="1"/>
  <c r="AD6" i="4"/>
  <c r="AC6" i="4"/>
  <c r="A24" i="4"/>
  <c r="A25" i="4" s="1"/>
  <c r="A26" i="4" s="1"/>
  <c r="A27" i="4" s="1"/>
  <c r="A28" i="4" s="1"/>
  <c r="A29" i="4" s="1"/>
  <c r="A30" i="4" s="1"/>
  <c r="A31" i="4" s="1"/>
  <c r="A32" i="4" s="1"/>
  <c r="A33" i="4" s="1"/>
  <c r="A34" i="4" s="1"/>
  <c r="A35" i="4" s="1"/>
  <c r="A36" i="4" s="1"/>
  <c r="A37" i="4" s="1"/>
  <c r="A38" i="4" s="1"/>
  <c r="A39" i="4" s="1"/>
  <c r="A40" i="4" s="1"/>
  <c r="A41" i="4" s="1"/>
  <c r="A42" i="4" s="1"/>
  <c r="BS24" i="4"/>
  <c r="BS25" i="4" s="1"/>
  <c r="BS26" i="4" s="1"/>
  <c r="BS27" i="4" s="1"/>
  <c r="BS28" i="4" s="1"/>
  <c r="BS30" i="4" s="1"/>
  <c r="BS31" i="4" s="1"/>
  <c r="BS32" i="4" s="1"/>
  <c r="BS33" i="4" s="1"/>
  <c r="BS34" i="4" s="1"/>
  <c r="BS35" i="4" s="1"/>
  <c r="BS36" i="4" s="1"/>
  <c r="BS37" i="4" s="1"/>
  <c r="BS38" i="4" s="1"/>
  <c r="BS39" i="4" s="1"/>
  <c r="BS40" i="4" s="1"/>
  <c r="BS41" i="4" s="1"/>
  <c r="BS42" i="4" s="1"/>
  <c r="AM7" i="11"/>
  <c r="AM6" i="11"/>
  <c r="A10" i="31"/>
  <c r="A11" i="31" s="1"/>
  <c r="A12" i="31" s="1"/>
  <c r="A13" i="31" s="1"/>
  <c r="A14" i="31" s="1"/>
  <c r="A15" i="31" s="1"/>
  <c r="A16" i="31" s="1"/>
  <c r="A17" i="31" s="1"/>
  <c r="AN4" i="4"/>
  <c r="F66" i="32"/>
  <c r="F67" i="32" s="1"/>
  <c r="F68" i="32" s="1"/>
  <c r="F69" i="32" s="1"/>
  <c r="F70" i="32" s="1"/>
  <c r="F71" i="32" s="1"/>
  <c r="F72" i="32" s="1"/>
  <c r="F73" i="32" s="1"/>
  <c r="F74" i="32" s="1"/>
  <c r="F75" i="32" s="1"/>
  <c r="F76" i="32" s="1"/>
  <c r="F77" i="32" s="1"/>
  <c r="F78" i="32" s="1"/>
  <c r="F79" i="32" s="1"/>
  <c r="F80" i="32" s="1"/>
  <c r="E66" i="32"/>
  <c r="E67" i="32" s="1"/>
  <c r="E68" i="32" s="1"/>
  <c r="E69" i="32" s="1"/>
  <c r="E70" i="32" s="1"/>
  <c r="E71" i="32" s="1"/>
  <c r="E72" i="32" s="1"/>
  <c r="E73" i="32" s="1"/>
  <c r="E74" i="32" s="1"/>
  <c r="E75" i="32" s="1"/>
  <c r="E76" i="32" s="1"/>
  <c r="E77" i="32" s="1"/>
  <c r="E78" i="32" s="1"/>
  <c r="E79" i="32" s="1"/>
  <c r="E80" i="32" s="1"/>
  <c r="C66" i="32"/>
  <c r="C67" i="32" s="1"/>
  <c r="C68" i="32" s="1"/>
  <c r="C69" i="32" s="1"/>
  <c r="C70" i="32" s="1"/>
  <c r="C71" i="32" s="1"/>
  <c r="C72" i="32" s="1"/>
  <c r="C73" i="32" s="1"/>
  <c r="C74" i="32" s="1"/>
  <c r="C75" i="32" s="1"/>
  <c r="C76" i="32" s="1"/>
  <c r="C77" i="32" s="1"/>
  <c r="C78" i="32" s="1"/>
  <c r="C79" i="32" s="1"/>
  <c r="C80" i="32" s="1"/>
  <c r="D66" i="32"/>
  <c r="D67" i="32" s="1"/>
  <c r="D68" i="32" s="1"/>
  <c r="D69" i="32" s="1"/>
  <c r="D70" i="32" s="1"/>
  <c r="D71" i="32" s="1"/>
  <c r="D72" i="32" s="1"/>
  <c r="D73" i="32" s="1"/>
  <c r="D74" i="32" s="1"/>
  <c r="D75" i="32" s="1"/>
  <c r="D76" i="32" s="1"/>
  <c r="D77" i="32" s="1"/>
  <c r="D78" i="32" s="1"/>
  <c r="D79" i="32" s="1"/>
  <c r="D80" i="32" s="1"/>
  <c r="AO6" i="4" l="1"/>
  <c r="A18" i="31"/>
  <c r="A19" i="31" s="1"/>
  <c r="A20" i="31" s="1"/>
  <c r="A21" i="31" s="1"/>
  <c r="A22" i="31" s="1"/>
  <c r="A23" i="31" s="1"/>
  <c r="A24" i="31" s="1"/>
  <c r="A25" i="31" s="1"/>
  <c r="A26" i="31" s="1"/>
  <c r="A27" i="31" s="1"/>
  <c r="A28" i="31" s="1"/>
  <c r="C37" i="32"/>
  <c r="B2" i="32" l="1"/>
  <c r="C54" i="32"/>
  <c r="D54" i="32" s="1"/>
  <c r="E54" i="32" s="1"/>
  <c r="F54" i="32" s="1"/>
  <c r="A58" i="32"/>
  <c r="A59" i="32" s="1"/>
  <c r="A60" i="32" s="1"/>
  <c r="A61" i="32" s="1"/>
  <c r="A62" i="32" s="1"/>
  <c r="A63" i="32" s="1"/>
  <c r="A64" i="32" s="1"/>
  <c r="A65" i="32" s="1"/>
  <c r="A66" i="32" s="1"/>
  <c r="A67" i="32" s="1"/>
  <c r="A68" i="32" s="1"/>
  <c r="A69" i="32" s="1"/>
  <c r="A70" i="32" s="1"/>
  <c r="A71" i="32" s="1"/>
  <c r="A72" i="32" s="1"/>
  <c r="A73" i="32" s="1"/>
  <c r="A74" i="32" s="1"/>
  <c r="A75" i="32" s="1"/>
  <c r="A76" i="32" s="1"/>
  <c r="A77" i="32" s="1"/>
  <c r="A78" i="32" s="1"/>
  <c r="A79" i="32" s="1"/>
  <c r="A80" i="32" s="1"/>
  <c r="A81" i="32" s="1"/>
  <c r="A82" i="32" s="1"/>
  <c r="A83" i="32" s="1"/>
  <c r="A84" i="32" s="1"/>
  <c r="A85" i="32" s="1"/>
  <c r="A86" i="32" s="1"/>
  <c r="A87" i="32" s="1"/>
  <c r="A88" i="32" s="1"/>
  <c r="A89" i="32" s="1"/>
  <c r="A90" i="32" s="1"/>
  <c r="A91" i="32" s="1"/>
  <c r="A92" i="32" s="1"/>
  <c r="A93" i="32" s="1"/>
  <c r="A94" i="32" s="1"/>
  <c r="A95" i="32" s="1"/>
  <c r="A96" i="32" s="1"/>
  <c r="A97" i="32" s="1"/>
  <c r="A98" i="32" s="1"/>
  <c r="A99" i="32" s="1"/>
  <c r="A100" i="32" s="1"/>
  <c r="A101" i="32" s="1"/>
  <c r="A102" i="32" s="1"/>
  <c r="A103" i="32" s="1"/>
  <c r="A104" i="32" s="1"/>
  <c r="A105" i="32" s="1"/>
  <c r="A106" i="32" s="1"/>
  <c r="A107" i="32" s="1"/>
  <c r="A108" i="32" s="1"/>
  <c r="A109" i="32" s="1"/>
  <c r="A110" i="32" s="1"/>
  <c r="A35" i="32"/>
  <c r="A36" i="32" s="1"/>
  <c r="A37" i="32" s="1"/>
  <c r="A38" i="32" s="1"/>
  <c r="A39" i="32" s="1"/>
  <c r="A40" i="32" s="1"/>
  <c r="A41" i="32" s="1"/>
  <c r="A42" i="32" s="1"/>
  <c r="A43" i="32" s="1"/>
  <c r="A44" i="32" s="1"/>
  <c r="A45" i="32" s="1"/>
  <c r="A46" i="32" s="1"/>
  <c r="A47" i="32" s="1"/>
  <c r="A48" i="32" s="1"/>
  <c r="A49" i="32" s="1"/>
  <c r="A50" i="32" s="1"/>
  <c r="A51" i="32" s="1"/>
  <c r="A52" i="32" s="1"/>
  <c r="A53" i="32" s="1"/>
  <c r="A54" i="32" s="1"/>
  <c r="A23" i="27"/>
  <c r="A24" i="27" s="1"/>
  <c r="A25" i="27" s="1"/>
  <c r="A26" i="27" s="1"/>
  <c r="A27" i="27" s="1"/>
  <c r="A28" i="27" s="1"/>
  <c r="A29" i="27" s="1"/>
  <c r="A30" i="27" s="1"/>
  <c r="A31" i="27" s="1"/>
  <c r="A32" i="27" s="1"/>
  <c r="A33" i="27" s="1"/>
  <c r="A34" i="27" s="1"/>
  <c r="AF6" i="4"/>
  <c r="AG6" i="4"/>
  <c r="B2" i="25"/>
  <c r="A10" i="7"/>
  <c r="A11" i="7" s="1"/>
  <c r="A12" i="7" s="1"/>
  <c r="A13" i="7" s="1"/>
  <c r="A14" i="7" s="1"/>
  <c r="A15" i="7" s="1"/>
  <c r="A16" i="7" s="1"/>
  <c r="A17" i="7" s="1"/>
  <c r="A18" i="7" s="1"/>
  <c r="A19" i="7" s="1"/>
  <c r="A20" i="7" s="1"/>
  <c r="A21" i="7" s="1"/>
  <c r="A22" i="7" s="1"/>
  <c r="A23" i="7" s="1"/>
  <c r="A24" i="7" s="1"/>
  <c r="A25" i="7" s="1"/>
  <c r="A26" i="7" s="1"/>
  <c r="A27" i="7" s="1"/>
  <c r="A28" i="7" s="1"/>
  <c r="J8" i="6"/>
  <c r="A10" i="6"/>
  <c r="A11" i="6" s="1"/>
  <c r="A12" i="6" s="1"/>
  <c r="A13" i="6" s="1"/>
  <c r="A14" i="6" s="1"/>
  <c r="A15" i="6" s="1"/>
  <c r="A16" i="6" s="1"/>
  <c r="A17" i="6" s="1"/>
  <c r="A18" i="6" s="1"/>
  <c r="A19" i="6" s="1"/>
  <c r="A20" i="6" s="1"/>
  <c r="A21" i="6" s="1"/>
  <c r="A22" i="6" s="1"/>
  <c r="A23" i="6" s="1"/>
  <c r="A24" i="6" s="1"/>
  <c r="A25" i="6" s="1"/>
  <c r="A26" i="6" s="1"/>
  <c r="A27" i="6" s="1"/>
  <c r="A28" i="6" s="1"/>
  <c r="A38" i="3"/>
  <c r="A39" i="3" s="1"/>
  <c r="A40" i="3" s="1"/>
  <c r="A41" i="3" s="1"/>
  <c r="A42" i="3" s="1"/>
  <c r="A43" i="3" s="1"/>
  <c r="A10" i="3"/>
  <c r="A11" i="3" s="1"/>
  <c r="A12" i="3" s="1"/>
  <c r="A13" i="3" s="1"/>
  <c r="A14" i="3" s="1"/>
  <c r="A15" i="3" s="1"/>
  <c r="A16" i="3" s="1"/>
  <c r="A19" i="2"/>
  <c r="A20" i="2" s="1"/>
  <c r="A21" i="2" s="1"/>
  <c r="A22" i="2" s="1"/>
  <c r="A23" i="2" s="1"/>
  <c r="A24" i="2" s="1"/>
  <c r="A25" i="2" s="1"/>
  <c r="L11" i="63"/>
  <c r="L12" i="63" s="1"/>
  <c r="L13" i="63" s="1"/>
  <c r="L14" i="63" s="1"/>
  <c r="L15" i="63" s="1"/>
  <c r="L16" i="63" s="1"/>
  <c r="M11" i="62"/>
  <c r="M12" i="62" s="1"/>
  <c r="M13" i="62" s="1"/>
  <c r="M14" i="62" s="1"/>
  <c r="M15" i="62" s="1"/>
  <c r="M16" i="62" s="1"/>
  <c r="M17" i="62" s="1"/>
  <c r="M18" i="62" s="1"/>
  <c r="M19" i="62" s="1"/>
  <c r="M20" i="62" s="1"/>
  <c r="A35" i="27" l="1"/>
  <c r="A36" i="27" s="1"/>
  <c r="A37" i="27" s="1"/>
  <c r="A38" i="27" s="1"/>
  <c r="A39" i="27" s="1"/>
  <c r="A40" i="27" s="1"/>
  <c r="A41" i="27" s="1"/>
  <c r="A17" i="3"/>
  <c r="A18" i="3" s="1"/>
  <c r="A19" i="3" s="1"/>
  <c r="A20" i="3" s="1"/>
  <c r="A21" i="3" s="1"/>
  <c r="A22" i="3" s="1"/>
  <c r="A23" i="3" s="1"/>
  <c r="A24" i="3" s="1"/>
  <c r="A25" i="3" s="1"/>
  <c r="A26" i="3" s="1"/>
  <c r="A27" i="3" s="1"/>
  <c r="A28" i="3" s="1"/>
  <c r="A26" i="2"/>
  <c r="A27" i="2" s="1"/>
  <c r="A28" i="2" s="1"/>
  <c r="A29" i="2" s="1"/>
  <c r="A30" i="2" s="1"/>
  <c r="A31" i="2" s="1"/>
  <c r="A32" i="2" s="1"/>
  <c r="A33" i="2" s="1"/>
  <c r="A34" i="2" s="1"/>
  <c r="A35" i="2" s="1"/>
  <c r="A36" i="2" s="1"/>
  <c r="A37" i="2" s="1"/>
  <c r="L17" i="63"/>
  <c r="L18" i="63" s="1"/>
  <c r="L19" i="63" s="1"/>
  <c r="L20" i="63" s="1"/>
  <c r="L21" i="63" s="1"/>
  <c r="L22" i="63" s="1"/>
  <c r="L23" i="63" s="1"/>
  <c r="L24" i="63" s="1"/>
  <c r="L25" i="63" s="1"/>
  <c r="L26" i="63" s="1"/>
  <c r="L27" i="63" s="1"/>
  <c r="L28" i="63" s="1"/>
  <c r="L29" i="63" s="1"/>
  <c r="M21" i="62"/>
  <c r="M22" i="62" s="1"/>
  <c r="M23" i="62" s="1"/>
  <c r="M24" i="62" s="1"/>
  <c r="M25" i="62" s="1"/>
  <c r="M26" i="62" s="1"/>
  <c r="M27" i="62" s="1"/>
  <c r="M28" i="62" s="1"/>
  <c r="M29" i="62" s="1"/>
  <c r="AI8" i="4"/>
  <c r="C35" i="7"/>
  <c r="C34" i="7"/>
  <c r="C33" i="7"/>
  <c r="C32" i="7"/>
  <c r="C31" i="7"/>
  <c r="C30" i="7"/>
  <c r="BD6" i="4"/>
  <c r="X6" i="4" l="1"/>
  <c r="J7" i="7"/>
  <c r="H7" i="7"/>
  <c r="C30" i="3"/>
  <c r="O6" i="4" s="1"/>
  <c r="U6" i="11"/>
  <c r="U7" i="11"/>
  <c r="U8" i="11"/>
  <c r="CI2" i="11" l="1"/>
  <c r="CI9" i="11"/>
  <c r="CI10" i="11"/>
  <c r="CI13" i="11"/>
  <c r="CI14" i="11"/>
  <c r="CI15" i="11"/>
  <c r="CF5" i="11"/>
  <c r="CH5" i="11"/>
  <c r="L6" i="34" l="1"/>
  <c r="AW3" i="4"/>
  <c r="Z6" i="4"/>
  <c r="AT6" i="4"/>
  <c r="AR6" i="4"/>
  <c r="AQ6" i="4"/>
  <c r="AM6" i="4"/>
  <c r="AK7" i="11"/>
  <c r="AL6" i="4"/>
  <c r="AK6" i="4"/>
  <c r="AP6" i="4" l="1"/>
  <c r="CF30" i="11"/>
  <c r="AP4" i="4"/>
  <c r="AK4" i="4"/>
  <c r="AH6" i="4"/>
  <c r="Y6" i="11"/>
  <c r="CL28" i="11" l="1"/>
  <c r="Z61" i="11"/>
  <c r="Z60" i="11"/>
  <c r="AJ67" i="11"/>
  <c r="AJ71" i="11"/>
  <c r="AJ66" i="11"/>
  <c r="AJ72" i="11"/>
  <c r="AG67" i="11"/>
  <c r="AG65" i="11"/>
  <c r="Z62" i="11"/>
  <c r="AB59" i="11"/>
  <c r="AB58" i="11"/>
  <c r="AB57" i="11"/>
  <c r="AB56" i="11"/>
  <c r="AB55" i="11"/>
  <c r="AB54" i="11"/>
  <c r="AB53" i="11"/>
  <c r="AB52" i="11"/>
  <c r="AD69" i="11"/>
  <c r="AD68" i="11"/>
  <c r="AD67" i="11"/>
  <c r="AD66" i="11"/>
  <c r="Z69" i="11"/>
  <c r="Z68" i="11"/>
  <c r="Z67" i="11"/>
  <c r="Z66" i="11"/>
  <c r="AF5" i="4"/>
  <c r="AF3" i="4" l="1"/>
  <c r="AA6" i="4" l="1"/>
  <c r="AE3" i="4"/>
  <c r="AE6" i="4"/>
  <c r="AC4" i="4"/>
  <c r="B13" i="25"/>
  <c r="B8" i="25"/>
  <c r="B11" i="25"/>
  <c r="C29" i="25"/>
  <c r="C31" i="25"/>
  <c r="C27" i="25"/>
  <c r="C23" i="25"/>
  <c r="B16" i="25"/>
  <c r="W7" i="11"/>
  <c r="W8" i="11"/>
  <c r="Z51" i="11"/>
  <c r="AA51" i="11"/>
  <c r="Z5" i="4"/>
  <c r="W6" i="11"/>
  <c r="M47" i="63" l="1"/>
  <c r="N47" i="63" s="1"/>
  <c r="O47" i="63" s="1"/>
  <c r="P47" i="63" s="1"/>
  <c r="Q47" i="63" s="1"/>
  <c r="R47" i="63" s="1"/>
  <c r="S47" i="63" s="1"/>
  <c r="E47" i="63"/>
  <c r="F47" i="63" s="1"/>
  <c r="G47" i="63" s="1"/>
  <c r="H47" i="63" s="1"/>
  <c r="I47" i="63" s="1"/>
  <c r="J47" i="63" s="1"/>
  <c r="K47" i="63" s="1"/>
  <c r="CP7" i="11"/>
  <c r="CP6" i="11"/>
  <c r="G5" i="63" s="1"/>
  <c r="X62" i="11"/>
  <c r="X61" i="11"/>
  <c r="X60" i="11"/>
  <c r="Z59" i="11"/>
  <c r="Z58" i="11"/>
  <c r="Z57" i="11"/>
  <c r="Z56" i="11"/>
  <c r="Z55" i="11"/>
  <c r="Z54" i="11"/>
  <c r="Z53" i="11"/>
  <c r="Z52" i="11"/>
  <c r="AO7" i="11"/>
  <c r="AO6" i="11"/>
  <c r="CL7" i="11"/>
  <c r="CL6" i="11"/>
  <c r="CL30" i="11"/>
  <c r="CJ29" i="11"/>
  <c r="CL29" i="11"/>
  <c r="CJ28" i="11"/>
  <c r="J8" i="7"/>
  <c r="H8" i="7"/>
  <c r="H8" i="6"/>
  <c r="J8" i="5"/>
  <c r="H8" i="5"/>
  <c r="J8" i="3"/>
  <c r="H8" i="3"/>
  <c r="H8" i="52"/>
  <c r="E8" i="52"/>
  <c r="AJ8" i="52"/>
  <c r="AI8" i="52"/>
  <c r="AH8" i="52"/>
  <c r="AG8" i="52"/>
  <c r="AF8" i="52"/>
  <c r="AE8" i="52"/>
  <c r="AD8" i="52"/>
  <c r="O5" i="4" l="1"/>
  <c r="J7" i="6"/>
  <c r="H7" i="6"/>
  <c r="H7" i="5"/>
  <c r="J7" i="5"/>
  <c r="H7" i="3"/>
  <c r="J7" i="3"/>
  <c r="U3" i="4"/>
  <c r="R3" i="4"/>
  <c r="X3" i="4"/>
  <c r="AC8" i="52"/>
  <c r="AB8" i="52"/>
  <c r="AA8" i="52"/>
  <c r="Z8" i="52"/>
  <c r="Y8" i="52"/>
  <c r="X8" i="52"/>
  <c r="W8" i="52"/>
  <c r="V8" i="52"/>
  <c r="T8" i="52"/>
  <c r="U8" i="52"/>
  <c r="S8" i="52"/>
  <c r="R8" i="52"/>
  <c r="Q8" i="52"/>
  <c r="P8" i="52"/>
  <c r="O8" i="52"/>
  <c r="N8" i="52"/>
  <c r="M8" i="52"/>
  <c r="K8" i="52"/>
  <c r="I8" i="52"/>
  <c r="J8" i="52"/>
  <c r="C8" i="73"/>
  <c r="D8" i="73"/>
  <c r="AB8" i="73"/>
  <c r="AM8" i="73"/>
  <c r="AN8" i="73"/>
  <c r="AL8" i="73"/>
  <c r="AK8" i="73"/>
  <c r="W8" i="73"/>
  <c r="V8" i="73"/>
  <c r="T8" i="73"/>
  <c r="U8" i="73"/>
  <c r="H8" i="73"/>
  <c r="G8" i="73"/>
  <c r="F8" i="73"/>
  <c r="E8" i="73"/>
  <c r="L8" i="71"/>
  <c r="K8" i="71"/>
  <c r="J8" i="71"/>
  <c r="I8" i="71"/>
  <c r="H8" i="71"/>
  <c r="G8" i="71"/>
  <c r="F8" i="71"/>
  <c r="E8" i="71"/>
  <c r="C8" i="69"/>
  <c r="D8" i="69"/>
  <c r="E8" i="69"/>
  <c r="F8" i="69"/>
  <c r="G8" i="69"/>
  <c r="P9" i="69"/>
  <c r="O9" i="69"/>
  <c r="N9" i="69"/>
  <c r="M9" i="69"/>
  <c r="L9" i="69"/>
  <c r="K9" i="69"/>
  <c r="V8" i="68"/>
  <c r="S8" i="68"/>
  <c r="R8" i="68"/>
  <c r="G33" i="64"/>
  <c r="J33" i="64"/>
  <c r="L3" i="4" l="1"/>
  <c r="BA3" i="4"/>
  <c r="AD8" i="74" l="1"/>
  <c r="V8" i="74"/>
  <c r="U8" i="74"/>
  <c r="T8" i="74"/>
  <c r="S8" i="74"/>
  <c r="AH8" i="74"/>
  <c r="AG8" i="74"/>
  <c r="AF8" i="74"/>
  <c r="AE8" i="74"/>
  <c r="AC8" i="74"/>
  <c r="AB8" i="74"/>
  <c r="AA8" i="74"/>
  <c r="Z8" i="74"/>
  <c r="Y8" i="74"/>
  <c r="X8" i="74"/>
  <c r="W8" i="74"/>
  <c r="J8" i="74"/>
  <c r="M5" i="62"/>
  <c r="H5" i="62"/>
  <c r="AH8" i="73" l="1"/>
  <c r="AF8" i="73"/>
  <c r="N5" i="63"/>
  <c r="M60" i="63" s="1"/>
  <c r="AO8" i="73"/>
  <c r="AG8" i="73"/>
  <c r="AD8" i="73"/>
  <c r="R8" i="74"/>
  <c r="Q8" i="74"/>
  <c r="P8" i="74"/>
  <c r="O8" i="74"/>
  <c r="N8" i="74"/>
  <c r="M8" i="74"/>
  <c r="L8" i="74"/>
  <c r="I8" i="74" l="1"/>
  <c r="H8" i="74"/>
  <c r="J8" i="73"/>
  <c r="G8" i="74"/>
  <c r="F8" i="74"/>
  <c r="E8" i="74"/>
  <c r="AI8" i="73"/>
  <c r="AJ8" i="73"/>
  <c r="AE8" i="73"/>
  <c r="AC8" i="73"/>
  <c r="AA8" i="73"/>
  <c r="Z8" i="73"/>
  <c r="P8" i="73"/>
  <c r="R8" i="73"/>
  <c r="S8" i="73"/>
  <c r="Y8" i="73"/>
  <c r="C2" i="3" l="1"/>
  <c r="D8" i="74"/>
  <c r="C8" i="74"/>
  <c r="O8" i="73"/>
  <c r="N8" i="73"/>
  <c r="M8" i="73"/>
  <c r="L8" i="73"/>
  <c r="K8" i="73"/>
  <c r="I8" i="73"/>
  <c r="H8" i="72"/>
  <c r="G8" i="72"/>
  <c r="F8" i="72"/>
  <c r="E8" i="72"/>
  <c r="D8" i="72"/>
  <c r="C8" i="72"/>
  <c r="D8" i="71"/>
  <c r="C8" i="71"/>
  <c r="J8" i="68" l="1"/>
  <c r="P8" i="68"/>
  <c r="M8" i="68"/>
  <c r="U8" i="68"/>
  <c r="T8" i="68"/>
  <c r="Q8" i="68"/>
  <c r="O8" i="68"/>
  <c r="N8" i="68"/>
  <c r="L8" i="68"/>
  <c r="H8" i="68"/>
  <c r="I8" i="68"/>
  <c r="K8" i="68"/>
  <c r="G8" i="68"/>
  <c r="F8" i="68"/>
  <c r="E8" i="68"/>
  <c r="D8" i="68"/>
  <c r="C8" i="68"/>
  <c r="C8" i="64"/>
  <c r="K33" i="64" l="1"/>
  <c r="R8" i="64"/>
  <c r="B6" i="11"/>
  <c r="B8" i="11" s="1"/>
  <c r="E6" i="11"/>
  <c r="B7" i="11" l="1"/>
  <c r="F4" i="6" l="1"/>
  <c r="F4" i="5"/>
  <c r="F4" i="3"/>
  <c r="F4" i="7"/>
  <c r="F2" i="7"/>
  <c r="F2" i="6"/>
  <c r="F2" i="5"/>
  <c r="F2" i="3"/>
  <c r="P8" i="64" l="1"/>
  <c r="M8" i="64"/>
  <c r="J8" i="64"/>
  <c r="D7" i="7" l="1"/>
  <c r="AN79" i="54"/>
  <c r="Q8" i="64"/>
  <c r="AO104" i="54" l="1"/>
  <c r="AN104" i="54"/>
  <c r="P30" i="66" l="1"/>
  <c r="Q30" i="66" s="1"/>
  <c r="R30" i="66" s="1"/>
  <c r="S30" i="66" s="1"/>
  <c r="T30" i="66" s="1"/>
  <c r="U30" i="66" s="1"/>
  <c r="V30" i="66" s="1"/>
  <c r="W30" i="66" s="1"/>
  <c r="X30" i="66" s="1"/>
  <c r="Y30" i="66" s="1"/>
  <c r="Z30" i="66" s="1"/>
  <c r="AI110" i="54"/>
  <c r="AI108" i="54"/>
  <c r="AI106" i="54"/>
  <c r="AN102" i="54"/>
  <c r="AO101" i="54"/>
  <c r="AM102" i="54"/>
  <c r="AL102" i="54"/>
  <c r="AM101" i="54"/>
  <c r="AL101" i="54"/>
  <c r="AO98" i="54"/>
  <c r="AN98" i="54"/>
  <c r="AM98" i="54"/>
  <c r="AL98" i="54"/>
  <c r="AO97" i="54"/>
  <c r="AN97" i="54"/>
  <c r="AM97" i="54"/>
  <c r="AL97" i="54"/>
  <c r="AO96" i="54"/>
  <c r="AN96" i="54"/>
  <c r="AM96" i="54"/>
  <c r="AL96" i="54"/>
  <c r="AL86" i="54"/>
  <c r="AM86" i="54"/>
  <c r="AN86" i="54"/>
  <c r="AO86" i="54"/>
  <c r="AL87" i="54"/>
  <c r="AM87" i="54"/>
  <c r="AN87" i="54"/>
  <c r="AO87" i="54"/>
  <c r="AL88" i="54"/>
  <c r="AM88" i="54"/>
  <c r="AN88" i="54"/>
  <c r="AO88" i="54"/>
  <c r="AL89" i="54"/>
  <c r="AM89" i="54"/>
  <c r="AN89" i="54"/>
  <c r="AO89" i="54"/>
  <c r="AL90" i="54"/>
  <c r="AM90" i="54"/>
  <c r="AN90" i="54"/>
  <c r="AO90" i="54"/>
  <c r="AL91" i="54"/>
  <c r="AM91" i="54"/>
  <c r="AN91" i="54"/>
  <c r="AO91" i="54"/>
  <c r="AL92" i="54"/>
  <c r="AM92" i="54"/>
  <c r="AN92" i="54"/>
  <c r="AO92" i="54"/>
  <c r="AL93" i="54"/>
  <c r="AM93" i="54"/>
  <c r="AN93" i="54"/>
  <c r="AO93" i="54"/>
  <c r="AL94" i="54"/>
  <c r="AM94" i="54"/>
  <c r="AN94" i="54"/>
  <c r="AO94" i="54"/>
  <c r="AL95" i="54"/>
  <c r="AM95" i="54"/>
  <c r="AN95" i="54"/>
  <c r="AO95" i="54"/>
  <c r="D33" i="64" l="1"/>
  <c r="C33" i="64"/>
  <c r="I33" i="64"/>
  <c r="H33" i="64"/>
  <c r="F33" i="64"/>
  <c r="E33" i="64"/>
  <c r="O8" i="64"/>
  <c r="N8" i="64"/>
  <c r="L8" i="64"/>
  <c r="K8" i="64"/>
  <c r="I8" i="64"/>
  <c r="H8" i="64"/>
  <c r="G8" i="64"/>
  <c r="F8" i="64"/>
  <c r="E8" i="64"/>
  <c r="D8" i="64"/>
  <c r="H109" i="63"/>
  <c r="J108" i="63"/>
  <c r="H108" i="63"/>
  <c r="N103" i="63"/>
  <c r="L103" i="63"/>
  <c r="N102" i="63"/>
  <c r="L102" i="63"/>
  <c r="F61" i="63"/>
  <c r="I57" i="63"/>
  <c r="M54" i="63"/>
  <c r="P44" i="63"/>
  <c r="N44" i="63"/>
  <c r="L44" i="63"/>
  <c r="J44" i="63"/>
  <c r="H44" i="63"/>
  <c r="Q43" i="63"/>
  <c r="G43" i="63"/>
  <c r="P42" i="63"/>
  <c r="N42" i="63"/>
  <c r="L42" i="63"/>
  <c r="J42" i="63"/>
  <c r="H42" i="63"/>
  <c r="Q41" i="63"/>
  <c r="G41" i="63"/>
  <c r="P40" i="63"/>
  <c r="N40" i="63"/>
  <c r="L40" i="63"/>
  <c r="J40" i="63"/>
  <c r="H40" i="63"/>
  <c r="Q39" i="63"/>
  <c r="G39" i="63"/>
  <c r="P38" i="63"/>
  <c r="N38" i="63"/>
  <c r="L38" i="63"/>
  <c r="J38" i="63"/>
  <c r="H38" i="63"/>
  <c r="Q37" i="63"/>
  <c r="G37" i="63"/>
  <c r="P36" i="63"/>
  <c r="N36" i="63"/>
  <c r="L36" i="63"/>
  <c r="J36" i="63"/>
  <c r="H36" i="63"/>
  <c r="Q35" i="63"/>
  <c r="G35" i="63"/>
  <c r="P34" i="63"/>
  <c r="N34" i="63"/>
  <c r="L34" i="63"/>
  <c r="J34" i="63"/>
  <c r="H34" i="63"/>
  <c r="P5" i="63"/>
  <c r="G53" i="63" s="1"/>
  <c r="I58" i="63" s="1"/>
  <c r="I5" i="63"/>
  <c r="G110" i="62"/>
  <c r="I109" i="62"/>
  <c r="G109" i="62"/>
  <c r="N104" i="62"/>
  <c r="L104" i="62"/>
  <c r="N103" i="62"/>
  <c r="L103" i="62"/>
  <c r="F62" i="62"/>
  <c r="M61" i="62"/>
  <c r="I58" i="62"/>
  <c r="M55" i="62"/>
  <c r="P45" i="62"/>
  <c r="N45" i="62"/>
  <c r="L45" i="62"/>
  <c r="J45" i="62"/>
  <c r="H45" i="62"/>
  <c r="Q44" i="62"/>
  <c r="G44" i="62"/>
  <c r="P43" i="62"/>
  <c r="N43" i="62"/>
  <c r="L43" i="62"/>
  <c r="J43" i="62"/>
  <c r="H43" i="62"/>
  <c r="Q42" i="62"/>
  <c r="G42" i="62"/>
  <c r="P41" i="62"/>
  <c r="N41" i="62"/>
  <c r="L41" i="62"/>
  <c r="J41" i="62"/>
  <c r="H41" i="62"/>
  <c r="Q40" i="62"/>
  <c r="G40" i="62"/>
  <c r="P39" i="62"/>
  <c r="N39" i="62"/>
  <c r="L39" i="62"/>
  <c r="J39" i="62"/>
  <c r="H39" i="62"/>
  <c r="Q38" i="62"/>
  <c r="G38" i="62"/>
  <c r="P37" i="62"/>
  <c r="N37" i="62"/>
  <c r="L37" i="62"/>
  <c r="J37" i="62"/>
  <c r="H37" i="62"/>
  <c r="G36" i="62"/>
  <c r="P35" i="62"/>
  <c r="N35" i="62"/>
  <c r="L35" i="62"/>
  <c r="J35" i="62"/>
  <c r="H35" i="62"/>
  <c r="O5" i="62"/>
  <c r="G54" i="62" s="1"/>
  <c r="I59" i="62" s="1"/>
  <c r="J5" i="62"/>
  <c r="H89" i="60"/>
  <c r="H88" i="60"/>
  <c r="J88" i="60"/>
  <c r="L83" i="61"/>
  <c r="L82" i="61"/>
  <c r="N83" i="60"/>
  <c r="L83" i="60"/>
  <c r="N82" i="60"/>
  <c r="L82" i="60"/>
  <c r="N83" i="61"/>
  <c r="N82" i="61"/>
  <c r="G88" i="61"/>
  <c r="O52" i="63" l="1"/>
  <c r="J8" i="63"/>
  <c r="J9" i="63" s="1"/>
  <c r="O53" i="62"/>
  <c r="I8" i="62"/>
  <c r="I9" i="62" s="1"/>
  <c r="I60" i="63"/>
  <c r="O61" i="63" s="1"/>
  <c r="F55" i="63"/>
  <c r="M53" i="63" s="1"/>
  <c r="G55" i="63"/>
  <c r="G61" i="63"/>
  <c r="H61" i="63"/>
  <c r="O53" i="63" s="1"/>
  <c r="I61" i="63"/>
  <c r="F56" i="63"/>
  <c r="M55" i="63" s="1"/>
  <c r="J61" i="63"/>
  <c r="O55" i="63" s="1"/>
  <c r="I62" i="63"/>
  <c r="O59" i="63" s="1"/>
  <c r="F58" i="63"/>
  <c r="M59" i="63" s="1"/>
  <c r="G58" i="63"/>
  <c r="F52" i="63"/>
  <c r="O58" i="63"/>
  <c r="G52" i="63"/>
  <c r="F59" i="63"/>
  <c r="M61" i="63" s="1"/>
  <c r="F53" i="63"/>
  <c r="I61" i="62"/>
  <c r="O62" i="62" s="1"/>
  <c r="F56" i="62"/>
  <c r="M54" i="62" s="1"/>
  <c r="G56" i="62"/>
  <c r="G62" i="62"/>
  <c r="H62" i="62"/>
  <c r="O54" i="62" s="1"/>
  <c r="I62" i="62"/>
  <c r="F57" i="62"/>
  <c r="M56" i="62" s="1"/>
  <c r="J62" i="62"/>
  <c r="O56" i="62" s="1"/>
  <c r="I63" i="62"/>
  <c r="O60" i="62" s="1"/>
  <c r="F59" i="62"/>
  <c r="M60" i="62" s="1"/>
  <c r="G59" i="62"/>
  <c r="F53" i="62"/>
  <c r="O59" i="62"/>
  <c r="G53" i="62"/>
  <c r="F60" i="62"/>
  <c r="M62" i="62" s="1"/>
  <c r="F54" i="62"/>
  <c r="P14" i="60"/>
  <c r="N14" i="60"/>
  <c r="L14" i="60"/>
  <c r="J14" i="60"/>
  <c r="H14" i="60"/>
  <c r="H14" i="61"/>
  <c r="J14" i="61"/>
  <c r="L14" i="61"/>
  <c r="P14" i="61"/>
  <c r="N14" i="61"/>
  <c r="M62" i="63" l="1"/>
  <c r="O60" i="63" s="1"/>
  <c r="M56" i="63"/>
  <c r="O54" i="63" s="1"/>
  <c r="M63" i="62"/>
  <c r="O61" i="62" s="1"/>
  <c r="M57" i="62"/>
  <c r="O55" i="62" s="1"/>
  <c r="G89" i="61"/>
  <c r="I88" i="61"/>
  <c r="F41" i="61"/>
  <c r="M40" i="61"/>
  <c r="I37" i="61"/>
  <c r="M34" i="61"/>
  <c r="P24" i="61"/>
  <c r="N24" i="61"/>
  <c r="L24" i="61"/>
  <c r="J24" i="61"/>
  <c r="H24" i="61"/>
  <c r="Q23" i="61"/>
  <c r="G23" i="61"/>
  <c r="P22" i="61"/>
  <c r="N22" i="61"/>
  <c r="L22" i="61"/>
  <c r="J22" i="61"/>
  <c r="H22" i="61"/>
  <c r="Q21" i="61"/>
  <c r="G21" i="61"/>
  <c r="P20" i="61"/>
  <c r="N20" i="61"/>
  <c r="L20" i="61"/>
  <c r="J20" i="61"/>
  <c r="H20" i="61"/>
  <c r="Q19" i="61"/>
  <c r="G19" i="61"/>
  <c r="P18" i="61"/>
  <c r="N18" i="61"/>
  <c r="L18" i="61"/>
  <c r="J18" i="61"/>
  <c r="H18" i="61"/>
  <c r="Q17" i="61"/>
  <c r="G17" i="61"/>
  <c r="P16" i="61"/>
  <c r="N16" i="61"/>
  <c r="L16" i="61"/>
  <c r="J16" i="61"/>
  <c r="H16" i="61"/>
  <c r="G15" i="61"/>
  <c r="O5" i="61"/>
  <c r="J5" i="61"/>
  <c r="M34" i="60"/>
  <c r="M40" i="60"/>
  <c r="I37" i="60"/>
  <c r="F41" i="60"/>
  <c r="O5" i="60"/>
  <c r="P59" i="63" l="1"/>
  <c r="P58" i="63"/>
  <c r="P59" i="62"/>
  <c r="P60" i="62"/>
  <c r="F33" i="60"/>
  <c r="G35" i="61"/>
  <c r="I7" i="61"/>
  <c r="I40" i="61"/>
  <c r="O41" i="61" s="1"/>
  <c r="H41" i="61"/>
  <c r="O33" i="61" s="1"/>
  <c r="I41" i="61"/>
  <c r="G41" i="61"/>
  <c r="F36" i="61"/>
  <c r="M35" i="61" s="1"/>
  <c r="J41" i="61"/>
  <c r="O35" i="61" s="1"/>
  <c r="I42" i="61"/>
  <c r="O39" i="61" s="1"/>
  <c r="F38" i="61"/>
  <c r="M39" i="61" s="1"/>
  <c r="G38" i="61"/>
  <c r="F35" i="61"/>
  <c r="M33" i="61" s="1"/>
  <c r="F32" i="61"/>
  <c r="O38" i="61"/>
  <c r="G32" i="61"/>
  <c r="O32" i="61"/>
  <c r="F39" i="61"/>
  <c r="M41" i="61" s="1"/>
  <c r="F33" i="61"/>
  <c r="G33" i="61"/>
  <c r="I38" i="61" s="1"/>
  <c r="O38" i="60"/>
  <c r="F39" i="60"/>
  <c r="M41" i="60" s="1"/>
  <c r="G38" i="60"/>
  <c r="F38" i="60"/>
  <c r="M39" i="60" s="1"/>
  <c r="G33" i="60"/>
  <c r="I38" i="60" s="1"/>
  <c r="J5" i="60"/>
  <c r="I7" i="60" s="1"/>
  <c r="Q23" i="60"/>
  <c r="Q21" i="60"/>
  <c r="Q19" i="60"/>
  <c r="Q17" i="60"/>
  <c r="Q15" i="60"/>
  <c r="G15" i="60"/>
  <c r="G17" i="60"/>
  <c r="G19" i="60"/>
  <c r="G21" i="60"/>
  <c r="G23" i="60"/>
  <c r="H24" i="60"/>
  <c r="P24" i="60"/>
  <c r="N24" i="60"/>
  <c r="L24" i="60"/>
  <c r="J24" i="60"/>
  <c r="P22" i="60"/>
  <c r="P20" i="60"/>
  <c r="P18" i="60"/>
  <c r="P16" i="60"/>
  <c r="N22" i="60"/>
  <c r="N20" i="60"/>
  <c r="N18" i="60"/>
  <c r="N16" i="60"/>
  <c r="L22" i="60"/>
  <c r="L20" i="60"/>
  <c r="L18" i="60"/>
  <c r="L16" i="60"/>
  <c r="J22" i="60"/>
  <c r="J20" i="60"/>
  <c r="J18" i="60"/>
  <c r="J16" i="60"/>
  <c r="H16" i="60"/>
  <c r="H18" i="60"/>
  <c r="H20" i="60"/>
  <c r="H22" i="60"/>
  <c r="D29" i="59"/>
  <c r="I135" i="59"/>
  <c r="K133" i="59" s="1"/>
  <c r="I129" i="59"/>
  <c r="K127" i="59" s="1"/>
  <c r="F128" i="59"/>
  <c r="I122" i="59"/>
  <c r="K120" i="59" s="1"/>
  <c r="I116" i="59"/>
  <c r="K114" i="59" s="1"/>
  <c r="F115" i="59"/>
  <c r="I109" i="59"/>
  <c r="K107" i="59" s="1"/>
  <c r="I103" i="59"/>
  <c r="K101" i="59" s="1"/>
  <c r="F102" i="59"/>
  <c r="I96" i="59"/>
  <c r="K94" i="59" s="1"/>
  <c r="I90" i="59"/>
  <c r="K88" i="59" s="1"/>
  <c r="F89" i="59"/>
  <c r="I83" i="59"/>
  <c r="K81" i="59" s="1"/>
  <c r="I77" i="59"/>
  <c r="K75" i="59" s="1"/>
  <c r="F76" i="59"/>
  <c r="I70" i="59"/>
  <c r="K68" i="59" s="1"/>
  <c r="I64" i="59"/>
  <c r="K62" i="59" s="1"/>
  <c r="F63" i="59"/>
  <c r="I57" i="59"/>
  <c r="K55" i="59" s="1"/>
  <c r="I51" i="59"/>
  <c r="K49" i="59" s="1"/>
  <c r="F50" i="59"/>
  <c r="I123" i="58"/>
  <c r="K121" i="58" s="1"/>
  <c r="I117" i="58"/>
  <c r="K115" i="58" s="1"/>
  <c r="F116" i="58"/>
  <c r="I110" i="58"/>
  <c r="K108" i="58" s="1"/>
  <c r="I104" i="58"/>
  <c r="K102" i="58" s="1"/>
  <c r="F103" i="58"/>
  <c r="C17" i="58"/>
  <c r="I97" i="58"/>
  <c r="K95" i="58" s="1"/>
  <c r="I91" i="58"/>
  <c r="K89" i="58" s="1"/>
  <c r="F90" i="58"/>
  <c r="I84" i="58"/>
  <c r="K82" i="58" s="1"/>
  <c r="I78" i="58"/>
  <c r="K76" i="58" s="1"/>
  <c r="F77" i="58"/>
  <c r="I71" i="58"/>
  <c r="K69" i="58" s="1"/>
  <c r="I65" i="58"/>
  <c r="K63" i="58" s="1"/>
  <c r="F64" i="58"/>
  <c r="I58" i="58"/>
  <c r="K56" i="58" s="1"/>
  <c r="I52" i="58"/>
  <c r="F51" i="58"/>
  <c r="K50" i="58"/>
  <c r="I45" i="58"/>
  <c r="K43" i="58" s="1"/>
  <c r="I39" i="58"/>
  <c r="K37" i="58" s="1"/>
  <c r="L40" i="58" s="1"/>
  <c r="F38" i="58"/>
  <c r="L65" i="59" l="1"/>
  <c r="L104" i="59"/>
  <c r="L66" i="58"/>
  <c r="L52" i="59"/>
  <c r="M8" i="63"/>
  <c r="M9" i="63" s="1"/>
  <c r="P57" i="63"/>
  <c r="N8" i="63" s="1"/>
  <c r="N9" i="63" s="1"/>
  <c r="N8" i="62"/>
  <c r="N9" i="62" s="1"/>
  <c r="P58" i="62"/>
  <c r="O8" i="62" s="1"/>
  <c r="O9" i="62" s="1"/>
  <c r="M42" i="60"/>
  <c r="M36" i="61"/>
  <c r="O34" i="61" s="1"/>
  <c r="O32" i="60"/>
  <c r="M42" i="61"/>
  <c r="O40" i="61" s="1"/>
  <c r="G41" i="60"/>
  <c r="F35" i="60"/>
  <c r="M33" i="60" s="1"/>
  <c r="G35" i="60"/>
  <c r="F36" i="60"/>
  <c r="M35" i="60" s="1"/>
  <c r="G32" i="60"/>
  <c r="I40" i="60"/>
  <c r="O41" i="60" s="1"/>
  <c r="I41" i="60"/>
  <c r="I42" i="60"/>
  <c r="O39" i="60" s="1"/>
  <c r="H41" i="60"/>
  <c r="O33" i="60" s="1"/>
  <c r="J41" i="60"/>
  <c r="O35" i="60" s="1"/>
  <c r="F32" i="60"/>
  <c r="L117" i="59"/>
  <c r="L130" i="59"/>
  <c r="L91" i="59"/>
  <c r="L78" i="59"/>
  <c r="L118" i="58"/>
  <c r="L92" i="58"/>
  <c r="L53" i="58"/>
  <c r="L105" i="58"/>
  <c r="L79" i="58"/>
  <c r="P38" i="61" l="1"/>
  <c r="P37" i="61" s="1"/>
  <c r="P39" i="61"/>
  <c r="M36" i="60"/>
  <c r="O34" i="60" s="1"/>
  <c r="O40" i="60"/>
  <c r="P38" i="60" l="1"/>
  <c r="P37" i="60" s="1"/>
  <c r="P39" i="60"/>
  <c r="N7" i="61"/>
  <c r="O7" i="61"/>
  <c r="AY3" i="4"/>
  <c r="N7" i="60" l="1"/>
  <c r="O7" i="60"/>
  <c r="AV8" i="4" l="1"/>
  <c r="BR16" i="4" l="1"/>
  <c r="BQ16" i="4"/>
  <c r="BP16" i="4"/>
  <c r="BO16" i="4"/>
  <c r="BN16" i="4"/>
  <c r="BM16" i="4"/>
  <c r="BH16" i="4"/>
  <c r="AV16" i="4"/>
  <c r="AU16" i="4"/>
  <c r="AI16" i="4"/>
  <c r="AH16" i="4"/>
  <c r="AB16" i="4"/>
  <c r="BN8" i="4"/>
  <c r="N12" i="40"/>
  <c r="N11" i="40"/>
  <c r="J2" i="40"/>
  <c r="J3" i="40"/>
  <c r="J9" i="40"/>
  <c r="Z16" i="38" l="1"/>
  <c r="W8" i="68" l="1"/>
  <c r="L8" i="52"/>
  <c r="Q8" i="73"/>
  <c r="K8" i="74"/>
  <c r="AU8" i="4"/>
  <c r="BH8" i="4"/>
  <c r="X8" i="73" s="1"/>
  <c r="BM8" i="4"/>
  <c r="BR8" i="4"/>
  <c r="AB8" i="4"/>
  <c r="J11" i="37" l="1"/>
  <c r="Z17" i="36"/>
  <c r="J10" i="37"/>
  <c r="P28" i="30"/>
  <c r="K6" i="31"/>
  <c r="Q7" i="35"/>
  <c r="Q5" i="35"/>
  <c r="H7" i="48" l="1"/>
  <c r="G7" i="48"/>
  <c r="F7" i="48"/>
  <c r="E7" i="48"/>
  <c r="G8" i="52" l="1"/>
  <c r="F8" i="52"/>
  <c r="AN1" i="51"/>
  <c r="AO1" i="51" s="1"/>
  <c r="AI7" i="51"/>
  <c r="AH7" i="51"/>
  <c r="AM7" i="51"/>
  <c r="AL7" i="51"/>
  <c r="AK7" i="51"/>
  <c r="AJ7" i="51"/>
  <c r="AG7" i="51"/>
  <c r="AF7" i="51"/>
  <c r="T7" i="51"/>
  <c r="AA7" i="51"/>
  <c r="Y7" i="51"/>
  <c r="R7" i="51"/>
  <c r="Q7" i="51"/>
  <c r="O7" i="51"/>
  <c r="N7" i="51"/>
  <c r="M7" i="51"/>
  <c r="L7" i="51"/>
  <c r="K7" i="51"/>
  <c r="J7" i="51"/>
  <c r="I7" i="51"/>
  <c r="H7" i="51"/>
  <c r="G7" i="51"/>
  <c r="F7" i="51"/>
  <c r="E7" i="51"/>
  <c r="D7" i="51"/>
  <c r="C7" i="51"/>
  <c r="D8" i="52"/>
  <c r="C8" i="52"/>
  <c r="E7" i="47"/>
  <c r="H7" i="50"/>
  <c r="G7" i="50"/>
  <c r="F7" i="50"/>
  <c r="E7" i="50"/>
  <c r="D7" i="50"/>
  <c r="C7" i="50"/>
  <c r="L7" i="49"/>
  <c r="K7" i="49"/>
  <c r="J7" i="49"/>
  <c r="I7" i="49"/>
  <c r="R7" i="46"/>
  <c r="Q7" i="46"/>
  <c r="P7" i="46"/>
  <c r="O7" i="46"/>
  <c r="N7" i="46"/>
  <c r="M7" i="46"/>
  <c r="L7" i="46"/>
  <c r="K7" i="46"/>
  <c r="J7" i="46"/>
  <c r="I7" i="46"/>
  <c r="H7" i="46"/>
  <c r="M7" i="45"/>
  <c r="L7" i="45"/>
  <c r="K7" i="45"/>
  <c r="J7" i="45"/>
  <c r="I7" i="45"/>
  <c r="H7" i="45"/>
  <c r="I28" i="45"/>
  <c r="H28" i="45"/>
  <c r="F28" i="45"/>
  <c r="E28" i="45"/>
  <c r="G7" i="45"/>
  <c r="F7" i="45"/>
  <c r="E7" i="45"/>
  <c r="D7" i="45"/>
  <c r="C7" i="45"/>
  <c r="F7" i="49"/>
  <c r="E7" i="49"/>
  <c r="H7" i="49"/>
  <c r="G7" i="49"/>
  <c r="AW6" i="4"/>
  <c r="D7" i="49"/>
  <c r="C7" i="49"/>
  <c r="D7" i="48"/>
  <c r="C7" i="48"/>
  <c r="G7" i="47" l="1"/>
  <c r="F7" i="47"/>
  <c r="D7" i="47"/>
  <c r="C7" i="47"/>
  <c r="U7" i="46"/>
  <c r="T7" i="46"/>
  <c r="S7" i="46"/>
  <c r="G7" i="46"/>
  <c r="E7" i="46"/>
  <c r="F7" i="46"/>
  <c r="D7" i="46"/>
  <c r="C7" i="46"/>
  <c r="G28" i="45"/>
  <c r="D28" i="45"/>
  <c r="C28" i="45"/>
  <c r="AO7" i="51" l="1"/>
  <c r="J7" i="40"/>
  <c r="J14" i="40"/>
  <c r="U7" i="51"/>
  <c r="J9" i="37"/>
  <c r="J8" i="37"/>
  <c r="J14" i="37"/>
  <c r="AN7" i="51" l="1"/>
  <c r="V7" i="51"/>
  <c r="J15" i="37" l="1"/>
  <c r="H14" i="37"/>
  <c r="D14" i="37"/>
  <c r="J15" i="40" l="1"/>
  <c r="H14" i="40"/>
  <c r="D14" i="40"/>
  <c r="AK35" i="40"/>
  <c r="AK34" i="40"/>
  <c r="AK33" i="40"/>
  <c r="AK32" i="40"/>
  <c r="AK36" i="40"/>
  <c r="AJ36" i="40"/>
  <c r="AJ35" i="40"/>
  <c r="AJ34" i="40"/>
  <c r="AJ33" i="40"/>
  <c r="AJ32" i="40"/>
  <c r="AY6" i="4" l="1"/>
  <c r="C61" i="35"/>
  <c r="BA6" i="4"/>
  <c r="Z17" i="41" l="1"/>
  <c r="Q16" i="40"/>
  <c r="R16" i="40" s="1"/>
  <c r="S16" i="40" s="1"/>
  <c r="T16" i="40" s="1"/>
  <c r="U16" i="40" s="1"/>
  <c r="V16" i="40" s="1"/>
  <c r="W16" i="40" s="1"/>
  <c r="X16" i="40" s="1"/>
  <c r="Y16" i="40" s="1"/>
  <c r="Z16" i="40" s="1"/>
  <c r="AA16" i="40" s="1"/>
  <c r="AB16" i="40" s="1"/>
  <c r="AC16" i="40" s="1"/>
  <c r="AD16" i="40" s="1"/>
  <c r="AE16" i="40" s="1"/>
  <c r="AF16" i="40" s="1"/>
  <c r="AG16" i="40" s="1"/>
  <c r="AH16" i="40" s="1"/>
  <c r="AI16" i="40" s="1"/>
  <c r="BK6" i="4" l="1"/>
  <c r="BK3" i="4"/>
  <c r="Q18" i="37" l="1"/>
  <c r="R18" i="37" s="1"/>
  <c r="S18" i="37" s="1"/>
  <c r="T18" i="37" s="1"/>
  <c r="U18" i="37" s="1"/>
  <c r="V18" i="37" s="1"/>
  <c r="W18" i="37" s="1"/>
  <c r="X18" i="37" s="1"/>
  <c r="Y18" i="37" s="1"/>
  <c r="Z18" i="37" s="1"/>
  <c r="AA18" i="37" s="1"/>
  <c r="AB18" i="37" s="1"/>
  <c r="AC18" i="37" s="1"/>
  <c r="AD18" i="37" s="1"/>
  <c r="AE18" i="37" s="1"/>
  <c r="AF18" i="37" s="1"/>
  <c r="AG18" i="37" s="1"/>
  <c r="AH18" i="37" s="1"/>
  <c r="AI18" i="37" s="1"/>
  <c r="C65" i="35" l="1"/>
  <c r="D64" i="35"/>
  <c r="D63" i="35"/>
  <c r="C60" i="35"/>
  <c r="C5" i="34"/>
  <c r="S7" i="51" l="1"/>
  <c r="C5" i="41"/>
  <c r="C2" i="41"/>
  <c r="C5" i="38" l="1"/>
  <c r="C2" i="38"/>
  <c r="Z7" i="51" l="1"/>
  <c r="C5" i="36"/>
  <c r="C2" i="36"/>
  <c r="M23" i="35"/>
  <c r="M20" i="35"/>
  <c r="C5" i="35"/>
  <c r="C2" i="35"/>
  <c r="C2" i="34"/>
  <c r="C5" i="31" l="1"/>
  <c r="H6" i="31"/>
  <c r="C2" i="31"/>
  <c r="C2" i="30"/>
  <c r="C5" i="30"/>
  <c r="M28" i="30"/>
  <c r="A31" i="31"/>
  <c r="A32" i="31" s="1"/>
  <c r="A33" i="31" s="1"/>
  <c r="A34" i="31" s="1"/>
  <c r="A35" i="31" s="1"/>
  <c r="B3" i="28"/>
  <c r="C5" i="3" l="1"/>
  <c r="Z30" i="3"/>
  <c r="C2" i="26" l="1"/>
  <c r="C2" i="27"/>
  <c r="H2" i="27" l="1"/>
  <c r="D7" i="27"/>
  <c r="H5" i="27" l="1"/>
  <c r="I7" i="27"/>
  <c r="U100" i="26" l="1"/>
  <c r="R54" i="26"/>
  <c r="S51" i="26"/>
  <c r="S48" i="26"/>
  <c r="S44" i="26"/>
  <c r="S41" i="26"/>
  <c r="M7" i="24" l="1"/>
  <c r="M8" i="24" s="1"/>
  <c r="M9" i="24" s="1"/>
  <c r="M10" i="24" s="1"/>
  <c r="M11" i="24" s="1"/>
  <c r="M12" i="24" s="1"/>
  <c r="M13" i="24" s="1"/>
  <c r="M14" i="24" s="1"/>
  <c r="M15" i="24" s="1"/>
  <c r="M16" i="24" s="1"/>
  <c r="M18" i="24" s="1"/>
  <c r="M19" i="24" s="1"/>
  <c r="M20" i="24" s="1"/>
  <c r="M21" i="24" s="1"/>
  <c r="M22" i="24" s="1"/>
  <c r="M23" i="24" s="1"/>
  <c r="M24" i="24" s="1"/>
  <c r="M25" i="24" s="1"/>
  <c r="M26" i="24" s="1"/>
  <c r="M27" i="24" s="1"/>
  <c r="M28" i="24" s="1"/>
  <c r="M29" i="24" s="1"/>
  <c r="M30" i="24" s="1"/>
  <c r="M31" i="24" s="1"/>
  <c r="M32" i="24" s="1"/>
  <c r="M33" i="24" s="1"/>
  <c r="M34" i="24" s="1"/>
  <c r="M35" i="24" s="1"/>
  <c r="M36" i="24" s="1"/>
  <c r="M37" i="24" s="1"/>
  <c r="M38" i="24" s="1"/>
  <c r="M39" i="24" s="1"/>
  <c r="M40" i="24" s="1"/>
  <c r="M41" i="24" s="1"/>
  <c r="M42" i="24" s="1"/>
  <c r="M43" i="24" s="1"/>
  <c r="M44" i="24" s="1"/>
  <c r="M45" i="24" s="1"/>
  <c r="M46" i="24" s="1"/>
  <c r="M47" i="24" s="1"/>
  <c r="M48" i="24" s="1"/>
  <c r="M49" i="24" s="1"/>
  <c r="M50" i="24" s="1"/>
  <c r="M51" i="24" s="1"/>
  <c r="M52" i="24" s="1"/>
  <c r="M53" i="24" s="1"/>
  <c r="M54" i="24" s="1"/>
  <c r="M55" i="24" s="1"/>
  <c r="M56" i="24" s="1"/>
  <c r="M57" i="24" s="1"/>
  <c r="C6" i="24"/>
  <c r="C7" i="24" s="1"/>
  <c r="C8" i="24" s="1"/>
  <c r="C9" i="24" s="1"/>
  <c r="C10" i="24" s="1"/>
  <c r="C11" i="24" s="1"/>
  <c r="C12" i="24" s="1"/>
  <c r="C13" i="24" s="1"/>
  <c r="C14" i="24" s="1"/>
  <c r="C15" i="24" s="1"/>
  <c r="C16" i="24" s="1"/>
  <c r="C18" i="24" s="1"/>
  <c r="C19" i="24" s="1"/>
  <c r="C20" i="24" s="1"/>
  <c r="C21" i="24" s="1"/>
  <c r="C22" i="24" s="1"/>
  <c r="C23" i="24" s="1"/>
  <c r="C24" i="24" s="1"/>
  <c r="C25" i="24" s="1"/>
  <c r="C26" i="24" s="1"/>
  <c r="C27" i="24" s="1"/>
  <c r="C28" i="24" s="1"/>
  <c r="C29" i="24" s="1"/>
  <c r="C30" i="24" s="1"/>
  <c r="C31" i="24" s="1"/>
  <c r="C32" i="24" s="1"/>
  <c r="C33" i="24" s="1"/>
  <c r="C34" i="24" s="1"/>
  <c r="C35" i="24" s="1"/>
  <c r="C36" i="24" s="1"/>
  <c r="C37" i="24" s="1"/>
  <c r="C38" i="24" s="1"/>
  <c r="C39" i="24" s="1"/>
  <c r="C40" i="24" s="1"/>
  <c r="C41" i="24" s="1"/>
  <c r="C42" i="24" s="1"/>
  <c r="C43" i="24" s="1"/>
  <c r="C44" i="24" s="1"/>
  <c r="R2" i="24"/>
  <c r="R3" i="24" s="1"/>
  <c r="R4" i="24" s="1"/>
  <c r="R5" i="24" s="1"/>
  <c r="R6" i="24" s="1"/>
  <c r="R7" i="24" s="1"/>
  <c r="R8" i="24" s="1"/>
  <c r="R9" i="24" s="1"/>
  <c r="R10" i="24" s="1"/>
  <c r="R11" i="24" s="1"/>
  <c r="R12" i="24" s="1"/>
  <c r="R13" i="24" s="1"/>
  <c r="R14" i="24" s="1"/>
  <c r="R15" i="24" s="1"/>
  <c r="R16" i="24" s="1"/>
  <c r="R18" i="24" s="1"/>
  <c r="R19" i="24" s="1"/>
  <c r="R20" i="24" s="1"/>
  <c r="R21" i="24" s="1"/>
  <c r="R22" i="24" s="1"/>
  <c r="R23" i="24" s="1"/>
  <c r="R24" i="24" s="1"/>
  <c r="R25" i="24" s="1"/>
  <c r="R26" i="24" s="1"/>
  <c r="R27" i="24" s="1"/>
  <c r="R28" i="24" s="1"/>
  <c r="R29" i="24" s="1"/>
  <c r="R30" i="24" s="1"/>
  <c r="R31" i="24" s="1"/>
  <c r="R32" i="24" s="1"/>
  <c r="R33" i="24" s="1"/>
  <c r="R34" i="24" s="1"/>
  <c r="R35" i="24" s="1"/>
  <c r="R36" i="24" s="1"/>
  <c r="R37" i="24" s="1"/>
  <c r="R38" i="24" s="1"/>
  <c r="R39" i="24" s="1"/>
  <c r="R40" i="24" s="1"/>
  <c r="R41" i="24" s="1"/>
  <c r="R42" i="24" s="1"/>
  <c r="R43" i="24" s="1"/>
  <c r="R44" i="24" s="1"/>
  <c r="R45" i="24" s="1"/>
  <c r="R46" i="24" s="1"/>
  <c r="R47" i="24" s="1"/>
  <c r="R48" i="24" s="1"/>
  <c r="R49" i="24" s="1"/>
  <c r="R50" i="24" s="1"/>
  <c r="R51" i="24" s="1"/>
  <c r="R52" i="24" s="1"/>
  <c r="R53" i="24" s="1"/>
  <c r="R54" i="24" s="1"/>
  <c r="R55" i="24" s="1"/>
  <c r="R56" i="24" s="1"/>
  <c r="R57" i="24" s="1"/>
  <c r="R58" i="24" s="1"/>
  <c r="R59" i="24" s="1"/>
  <c r="R60" i="24" s="1"/>
  <c r="R61" i="24" s="1"/>
  <c r="R62" i="24" s="1"/>
  <c r="R63" i="24" s="1"/>
  <c r="R64" i="24" s="1"/>
  <c r="R65" i="24" s="1"/>
  <c r="R66" i="24" s="1"/>
  <c r="R67" i="24" s="1"/>
  <c r="R68" i="24" s="1"/>
  <c r="R69" i="24" s="1"/>
  <c r="R70" i="24" s="1"/>
  <c r="R71" i="24" s="1"/>
  <c r="R72" i="24" s="1"/>
  <c r="R73" i="24" s="1"/>
  <c r="R74" i="24" s="1"/>
  <c r="R75" i="24" s="1"/>
  <c r="R76" i="24" s="1"/>
  <c r="R77" i="24" s="1"/>
  <c r="R78" i="24" s="1"/>
  <c r="R79" i="24" s="1"/>
  <c r="R80" i="24" s="1"/>
  <c r="R81" i="24" s="1"/>
  <c r="R82" i="24" s="1"/>
  <c r="R83" i="24" s="1"/>
  <c r="R84" i="24" s="1"/>
  <c r="R85" i="24" s="1"/>
  <c r="R86" i="24" s="1"/>
  <c r="R87" i="24" s="1"/>
  <c r="R88" i="24" s="1"/>
  <c r="R89" i="24" s="1"/>
  <c r="R90" i="24" s="1"/>
  <c r="R91" i="24" s="1"/>
  <c r="R92" i="24" s="1"/>
  <c r="R93" i="24" s="1"/>
  <c r="R94" i="24" s="1"/>
  <c r="R95" i="24" s="1"/>
  <c r="R96" i="24" s="1"/>
  <c r="R97" i="24" s="1"/>
  <c r="R98" i="24" s="1"/>
  <c r="R99" i="24" s="1"/>
  <c r="R100" i="24" s="1"/>
  <c r="R101" i="24" s="1"/>
  <c r="R102" i="24" s="1"/>
  <c r="R103" i="24" s="1"/>
  <c r="R104" i="24" s="1"/>
  <c r="R105" i="24" s="1"/>
  <c r="R106" i="24" s="1"/>
  <c r="R107" i="24" s="1"/>
  <c r="O39" i="23"/>
  <c r="M39" i="23"/>
  <c r="L39" i="23"/>
  <c r="J39" i="23"/>
  <c r="H39" i="23"/>
  <c r="O38" i="23"/>
  <c r="N38" i="23"/>
  <c r="M38" i="23"/>
  <c r="L38" i="23"/>
  <c r="K38" i="23"/>
  <c r="J38" i="23"/>
  <c r="I38" i="23"/>
  <c r="H38" i="23"/>
  <c r="G38" i="23"/>
  <c r="F38" i="23"/>
  <c r="D38" i="23"/>
  <c r="Q8" i="23"/>
  <c r="O8" i="23"/>
  <c r="N8" i="23"/>
  <c r="L8" i="23"/>
  <c r="J8" i="23"/>
  <c r="I8" i="23"/>
  <c r="H8" i="23"/>
  <c r="Q7" i="23"/>
  <c r="P7" i="23"/>
  <c r="O7" i="23"/>
  <c r="N7" i="23"/>
  <c r="M7" i="23"/>
  <c r="L7" i="23"/>
  <c r="K7" i="23"/>
  <c r="J7" i="23"/>
  <c r="I7" i="23"/>
  <c r="H7" i="23"/>
  <c r="G7" i="23"/>
  <c r="F7" i="23"/>
  <c r="D7" i="23"/>
  <c r="G1" i="23"/>
  <c r="H1" i="23" s="1"/>
  <c r="I1" i="23" s="1"/>
  <c r="J1" i="23" s="1"/>
  <c r="K1" i="23" s="1"/>
  <c r="L1" i="23" s="1"/>
  <c r="M1" i="23" s="1"/>
  <c r="N1" i="23" s="1"/>
  <c r="O1" i="23" s="1"/>
  <c r="P1" i="23" s="1"/>
  <c r="Q1" i="23" s="1"/>
  <c r="R1" i="23" s="1"/>
  <c r="S1" i="23" s="1"/>
  <c r="T1" i="23" s="1"/>
  <c r="U1" i="23" s="1"/>
  <c r="V1" i="23" s="1"/>
  <c r="W1" i="23" s="1"/>
  <c r="X1" i="23" s="1"/>
  <c r="Y1" i="23" s="1"/>
  <c r="Z1" i="23" s="1"/>
  <c r="C7" i="9" l="1"/>
  <c r="D7" i="9"/>
  <c r="D7" i="6" l="1"/>
  <c r="C5" i="7"/>
  <c r="C5" i="6" l="1"/>
  <c r="A31" i="7"/>
  <c r="A32" i="7" s="1"/>
  <c r="A33" i="7" s="1"/>
  <c r="A34" i="7" s="1"/>
  <c r="A35" i="7" s="1"/>
  <c r="C2" i="7"/>
  <c r="A31" i="6"/>
  <c r="A32" i="6" s="1"/>
  <c r="A33" i="6" s="1"/>
  <c r="A34" i="6" s="1"/>
  <c r="A35" i="6" s="1"/>
  <c r="C2" i="6"/>
  <c r="D7" i="5" l="1"/>
  <c r="C2" i="5"/>
  <c r="A31" i="5"/>
  <c r="A32" i="5" s="1"/>
  <c r="A33" i="5" s="1"/>
  <c r="A34" i="5" s="1"/>
  <c r="A35" i="5" s="1"/>
  <c r="A10" i="5"/>
  <c r="A11" i="5" s="1"/>
  <c r="A12" i="5" s="1"/>
  <c r="A13" i="5" s="1"/>
  <c r="A14" i="5" s="1"/>
  <c r="A15" i="5" s="1"/>
  <c r="A16" i="5" s="1"/>
  <c r="A17" i="5" s="1"/>
  <c r="A18" i="5" s="1"/>
  <c r="A19" i="5" s="1"/>
  <c r="A20" i="5" s="1"/>
  <c r="A21" i="5" s="1"/>
  <c r="A22" i="5" s="1"/>
  <c r="A23" i="5" s="1"/>
  <c r="A24" i="5" s="1"/>
  <c r="A25" i="5" s="1"/>
  <c r="A26" i="5" s="1"/>
  <c r="A27" i="5" s="1"/>
  <c r="A28" i="5" s="1"/>
  <c r="C5" i="5" l="1"/>
  <c r="F13" i="9" l="1"/>
  <c r="F7" i="9" l="1"/>
  <c r="F5" i="9"/>
  <c r="D5" i="9" l="1"/>
  <c r="F18" i="9"/>
  <c r="F21" i="9"/>
</calcChain>
</file>

<file path=xl/comments1.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30" authorId="0" shapeId="0" xr:uid="{00000000-0006-0000-0C00-000001000000}">
      <text>
        <r>
          <rPr>
            <b/>
            <sz val="9"/>
            <color indexed="81"/>
            <rFont val="Tahoma"/>
            <family val="2"/>
          </rPr>
          <t>Select a Value</t>
        </r>
        <r>
          <rPr>
            <sz val="9"/>
            <color indexed="81"/>
            <rFont val="Tahoma"/>
            <family val="2"/>
          </rPr>
          <t xml:space="preserve">
</t>
        </r>
      </text>
    </comment>
    <comment ref="C31" authorId="0" shapeId="0" xr:uid="{00000000-0006-0000-0C00-000002000000}">
      <text>
        <r>
          <rPr>
            <b/>
            <sz val="9"/>
            <color indexed="81"/>
            <rFont val="Tahoma"/>
            <family val="2"/>
          </rPr>
          <t>The adversary has very limited resources, expertise, and opportunities to support a successful attack.</t>
        </r>
      </text>
    </comment>
    <comment ref="C32" authorId="0" shapeId="0" xr:uid="{00000000-0006-0000-0C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33" authorId="0" shapeId="0" xr:uid="{00000000-0006-0000-0C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34" authorId="0" shapeId="0" xr:uid="{00000000-0006-0000-0C00-000005000000}">
      <text>
        <r>
          <rPr>
            <b/>
            <sz val="9"/>
            <color indexed="81"/>
            <rFont val="Tahoma"/>
            <family val="2"/>
          </rPr>
          <t>The adversary has a sophisticated level of expertise, with significant resources and opportunities to support multiple successful coordinated attacks.</t>
        </r>
      </text>
    </comment>
    <comment ref="C35" authorId="0" shapeId="0" xr:uid="{00000000-0006-0000-0C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L20" authorId="0" shapeId="0" xr:uid="{00000000-0006-0000-1D00-000001000000}">
      <text>
        <r>
          <rPr>
            <b/>
            <sz val="9"/>
            <color indexed="81"/>
            <rFont val="Tahoma"/>
            <family val="2"/>
          </rPr>
          <t>The adversary has very limited resources, expertise, and opportunities to support a successful attack.</t>
        </r>
      </text>
    </comment>
    <comment ref="E21" authorId="0" shapeId="0" xr:uid="{00000000-0006-0000-1D00-000002000000}">
      <text>
        <r>
          <rPr>
            <b/>
            <sz val="9"/>
            <color indexed="81"/>
            <rFont val="Tahoma"/>
            <family val="2"/>
          </rPr>
          <t>The adversary has very limited resources, expertise, and opportunities to support a successful attack.</t>
        </r>
      </text>
    </comment>
    <comment ref="F21" authorId="0" shapeId="0" xr:uid="{00000000-0006-0000-1D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G21" authorId="0" shapeId="0" xr:uid="{00000000-0006-0000-1D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H21" authorId="0" shapeId="0" xr:uid="{00000000-0006-0000-1D00-000005000000}">
      <text>
        <r>
          <rPr>
            <b/>
            <sz val="9"/>
            <color indexed="81"/>
            <rFont val="Tahoma"/>
            <family val="2"/>
          </rPr>
          <t>The adversary has a sophisticated level of expertise, with significant resources and opportunities to support multiple successful coordinated attacks.</t>
        </r>
      </text>
    </comment>
    <comment ref="I21" authorId="0" shapeId="0" xr:uid="{00000000-0006-0000-1D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L21" authorId="0" shapeId="0" xr:uid="{00000000-0006-0000-1D00-000007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L22" authorId="0" shapeId="0" xr:uid="{00000000-0006-0000-1D00-000008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3" authorId="0" shapeId="0" xr:uid="{00000000-0006-0000-1D00-000009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L23" authorId="0" shapeId="0" xr:uid="{00000000-0006-0000-1D00-00000A000000}">
      <text>
        <r>
          <rPr>
            <b/>
            <sz val="9"/>
            <color indexed="81"/>
            <rFont val="Tahoma"/>
            <family val="2"/>
          </rPr>
          <t>The adversary has a sophisticated level of expertise, with significant resources and opportunities to support multiple successful coordinated attacks.</t>
        </r>
      </text>
    </comment>
    <comment ref="C24" authorId="0" shapeId="0" xr:uid="{00000000-0006-0000-1D00-00000B000000}">
      <text>
        <r>
          <rPr>
            <b/>
            <sz val="9"/>
            <color indexed="81"/>
            <rFont val="Tahoma"/>
            <family val="2"/>
          </rPr>
          <t>The adversary has a sophisticated level of expertise, with significant resources and opportunities to support multiple successful coordinated attacks.</t>
        </r>
      </text>
    </comment>
    <comment ref="L24" authorId="0" shapeId="0" xr:uid="{00000000-0006-0000-1D00-00000C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25" authorId="0" shapeId="0" xr:uid="{00000000-0006-0000-1D00-00000D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6" authorId="0" shapeId="0" xr:uid="{00000000-0006-0000-1D00-00000E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27" authorId="0" shapeId="0" xr:uid="{00000000-0006-0000-1D00-00000F000000}">
      <text>
        <r>
          <rPr>
            <b/>
            <sz val="9"/>
            <color indexed="81"/>
            <rFont val="Tahoma"/>
            <family val="2"/>
          </rPr>
          <t>The adversary has very limited resources, expertise, and opportunities to support a successful attack.</t>
        </r>
      </text>
    </comment>
    <comment ref="L28" authorId="0" shapeId="0" xr:uid="{00000000-0006-0000-1D00-000010000000}">
      <text>
        <r>
          <rPr>
            <b/>
            <sz val="9"/>
            <color indexed="81"/>
            <rFont val="Tahoma"/>
            <family val="2"/>
          </rPr>
          <t>The adversary has very limited resources, expertise, and opportunities to support a successful attack.</t>
        </r>
      </text>
    </comment>
    <comment ref="L30" authorId="0" shapeId="0" xr:uid="{00000000-0006-0000-1D00-000011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L32" authorId="0" shapeId="0" xr:uid="{00000000-0006-0000-1D00-000012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E33" authorId="0" shapeId="0" xr:uid="{00000000-0006-0000-1D00-000013000000}">
      <text>
        <r>
          <rPr>
            <b/>
            <sz val="9"/>
            <color indexed="81"/>
            <rFont val="Tahoma"/>
            <family val="2"/>
          </rPr>
          <t>The adversary has very limited resources, expertise, and opportunities to support a successful attack.</t>
        </r>
      </text>
    </comment>
    <comment ref="F33" authorId="0" shapeId="0" xr:uid="{00000000-0006-0000-1D00-000014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G33" authorId="0" shapeId="0" xr:uid="{00000000-0006-0000-1D00-000015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H33" authorId="0" shapeId="0" xr:uid="{00000000-0006-0000-1D00-000016000000}">
      <text>
        <r>
          <rPr>
            <b/>
            <sz val="9"/>
            <color indexed="81"/>
            <rFont val="Tahoma"/>
            <family val="2"/>
          </rPr>
          <t>The adversary has a sophisticated level of expertise, with significant resources and opportunities to support multiple successful coordinated attacks.</t>
        </r>
      </text>
    </comment>
    <comment ref="I33" authorId="0" shapeId="0" xr:uid="{00000000-0006-0000-1D00-000017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L34" authorId="0" shapeId="0" xr:uid="{00000000-0006-0000-1D00-000018000000}">
      <text>
        <r>
          <rPr>
            <b/>
            <sz val="9"/>
            <color indexed="81"/>
            <rFont val="Tahoma"/>
            <family val="2"/>
          </rPr>
          <t>The adversary has a sophisticated level of expertise, with significant resources and opportunities to support multiple successful coordinated attacks.</t>
        </r>
      </text>
    </comment>
    <comment ref="C35" authorId="0" shapeId="0" xr:uid="{00000000-0006-0000-1D00-000019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36" authorId="0" shapeId="0" xr:uid="{00000000-0006-0000-1D00-00001A000000}">
      <text>
        <r>
          <rPr>
            <b/>
            <sz val="9"/>
            <color indexed="81"/>
            <rFont val="Tahoma"/>
            <family val="2"/>
          </rPr>
          <t>The adversary has a sophisticated level of expertise, with significant resources and opportunities to support multiple successful coordinated attacks.</t>
        </r>
      </text>
    </comment>
    <comment ref="L36" authorId="0" shapeId="0" xr:uid="{00000000-0006-0000-1D00-00001B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37" authorId="0" shapeId="0" xr:uid="{00000000-0006-0000-1D00-00001C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38" authorId="0" shapeId="0" xr:uid="{00000000-0006-0000-1D00-00001D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39" authorId="0" shapeId="0" xr:uid="{00000000-0006-0000-1D00-00001E000000}">
      <text>
        <r>
          <rPr>
            <b/>
            <sz val="9"/>
            <color indexed="81"/>
            <rFont val="Tahoma"/>
            <family val="2"/>
          </rPr>
          <t>The adversary has very limited resources, expertise, and opportunities to support a successful attack.</t>
        </r>
      </text>
    </comment>
    <comment ref="E45" authorId="0" shapeId="0" xr:uid="{00000000-0006-0000-1D00-00001F000000}">
      <text>
        <r>
          <rPr>
            <b/>
            <sz val="9"/>
            <color indexed="81"/>
            <rFont val="Tahoma"/>
            <family val="2"/>
          </rPr>
          <t>The adversary has very limited resources, expertise, and opportunities to support a successful attack.</t>
        </r>
      </text>
    </comment>
    <comment ref="F45" authorId="0" shapeId="0" xr:uid="{00000000-0006-0000-1D00-000020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G45" authorId="0" shapeId="0" xr:uid="{00000000-0006-0000-1D00-000021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H45" authorId="0" shapeId="0" xr:uid="{00000000-0006-0000-1D00-000022000000}">
      <text>
        <r>
          <rPr>
            <b/>
            <sz val="9"/>
            <color indexed="81"/>
            <rFont val="Tahoma"/>
            <family val="2"/>
          </rPr>
          <t>The adversary has a sophisticated level of expertise, with significant resources and opportunities to support multiple successful coordinated attacks.</t>
        </r>
      </text>
    </comment>
    <comment ref="I45" authorId="0" shapeId="0" xr:uid="{00000000-0006-0000-1D00-000023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47" authorId="0" shapeId="0" xr:uid="{00000000-0006-0000-1D00-000024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48" authorId="0" shapeId="0" xr:uid="{00000000-0006-0000-1D00-000025000000}">
      <text>
        <r>
          <rPr>
            <b/>
            <sz val="9"/>
            <color indexed="81"/>
            <rFont val="Tahoma"/>
            <family val="2"/>
          </rPr>
          <t>The adversary has a sophisticated level of expertise, with significant resources and opportunities to support multiple successful coordinated attacks.</t>
        </r>
      </text>
    </comment>
    <comment ref="C49" authorId="0" shapeId="0" xr:uid="{00000000-0006-0000-1D00-000026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50" authorId="0" shapeId="0" xr:uid="{00000000-0006-0000-1D00-000027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51" authorId="0" shapeId="0" xr:uid="{00000000-0006-0000-1D00-000028000000}">
      <text>
        <r>
          <rPr>
            <b/>
            <sz val="9"/>
            <color indexed="81"/>
            <rFont val="Tahoma"/>
            <family val="2"/>
          </rPr>
          <t>The adversary has very limited resources, expertise, and opportunities to support a successful attack.</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F20" authorId="0" shapeId="0" xr:uid="{00000000-0006-0000-1E00-000001000000}">
      <text>
        <r>
          <rPr>
            <b/>
            <sz val="9"/>
            <color indexed="81"/>
            <rFont val="Tahoma"/>
            <family val="2"/>
          </rPr>
          <t>The adversary has very limited resources, expertise, and opportunities to support a successful attack.</t>
        </r>
      </text>
    </comment>
    <comment ref="H20" authorId="0" shapeId="0" xr:uid="{00000000-0006-0000-1E00-000002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J20" authorId="0" shapeId="0" xr:uid="{00000000-0006-0000-1E00-000003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L20" authorId="0" shapeId="0" xr:uid="{00000000-0006-0000-1E00-000004000000}">
      <text>
        <r>
          <rPr>
            <b/>
            <sz val="9"/>
            <color indexed="81"/>
            <rFont val="Tahoma"/>
            <family val="2"/>
          </rPr>
          <t>The adversary has a sophisticated level of expertise, with significant resources and opportunities to support multiple successful coordinated attacks.</t>
        </r>
      </text>
    </comment>
    <comment ref="N20" authorId="0" shapeId="0" xr:uid="{00000000-0006-0000-1E00-000005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23" authorId="0" shapeId="0" xr:uid="{00000000-0006-0000-1E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25" authorId="0" shapeId="0" xr:uid="{00000000-0006-0000-1E00-000007000000}">
      <text>
        <r>
          <rPr>
            <b/>
            <sz val="9"/>
            <color indexed="81"/>
            <rFont val="Tahoma"/>
            <family val="2"/>
          </rPr>
          <t>The adversary has a sophisticated level of expertise, with significant resources and opportunities to support multiple successful coordinated attacks.</t>
        </r>
      </text>
    </comment>
    <comment ref="C27" authorId="0" shapeId="0" xr:uid="{00000000-0006-0000-1E00-000008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9" authorId="0" shapeId="0" xr:uid="{00000000-0006-0000-1E00-000009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31" authorId="0" shapeId="0" xr:uid="{00000000-0006-0000-1E00-00000A000000}">
      <text>
        <r>
          <rPr>
            <b/>
            <sz val="9"/>
            <color indexed="81"/>
            <rFont val="Tahoma"/>
            <family val="2"/>
          </rPr>
          <t>The adversary has very limited resources, expertise, and opportunities to support a successful attack.</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L18" authorId="0" shapeId="0" xr:uid="{00000000-0006-0000-1F00-000001000000}">
      <text>
        <r>
          <rPr>
            <b/>
            <sz val="9"/>
            <color indexed="81"/>
            <rFont val="Tahoma"/>
            <family val="2"/>
          </rPr>
          <t>The adversary has very limited resources, expertise, and opportunities to support a successful attack.</t>
        </r>
      </text>
    </comment>
    <comment ref="L19" authorId="0" shapeId="0" xr:uid="{00000000-0006-0000-1F00-000002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L20" authorId="0" shapeId="0" xr:uid="{00000000-0006-0000-1F00-000003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E21" authorId="0" shapeId="0" xr:uid="{00000000-0006-0000-1F00-000004000000}">
      <text>
        <r>
          <rPr>
            <b/>
            <sz val="9"/>
            <color indexed="81"/>
            <rFont val="Tahoma"/>
            <family val="2"/>
          </rPr>
          <t>The adversary has very limited resources, expertise, and opportunities to support a successful attack.</t>
        </r>
      </text>
    </comment>
    <comment ref="F21" authorId="0" shapeId="0" xr:uid="{00000000-0006-0000-1F00-000005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G21" authorId="0" shapeId="0" xr:uid="{00000000-0006-0000-1F00-000006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H21" authorId="0" shapeId="0" xr:uid="{00000000-0006-0000-1F00-000007000000}">
      <text>
        <r>
          <rPr>
            <b/>
            <sz val="9"/>
            <color indexed="81"/>
            <rFont val="Tahoma"/>
            <family val="2"/>
          </rPr>
          <t>The adversary has a sophisticated level of expertise, with significant resources and opportunities to support multiple successful coordinated attacks.</t>
        </r>
      </text>
    </comment>
    <comment ref="I21" authorId="0" shapeId="0" xr:uid="{00000000-0006-0000-1F00-000008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L21" authorId="0" shapeId="0" xr:uid="{00000000-0006-0000-1F00-000009000000}">
      <text>
        <r>
          <rPr>
            <b/>
            <sz val="9"/>
            <color indexed="81"/>
            <rFont val="Tahoma"/>
            <family val="2"/>
          </rPr>
          <t>The adversary has a sophisticated level of expertise, with significant resources and opportunities to support multiple successful coordinated attacks.</t>
        </r>
      </text>
    </comment>
    <comment ref="L22" authorId="0" shapeId="0" xr:uid="{00000000-0006-0000-1F00-00000A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23" authorId="0" shapeId="0" xr:uid="{00000000-0006-0000-1F00-00000B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24" authorId="0" shapeId="0" xr:uid="{00000000-0006-0000-1F00-00000C000000}">
      <text>
        <r>
          <rPr>
            <b/>
            <sz val="9"/>
            <color indexed="81"/>
            <rFont val="Tahoma"/>
            <family val="2"/>
          </rPr>
          <t>The adversary has a sophisticated level of expertise, with significant resources and opportunities to support multiple successful coordinated attacks.</t>
        </r>
      </text>
    </comment>
    <comment ref="C25" authorId="0" shapeId="0" xr:uid="{00000000-0006-0000-1F00-00000D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6" authorId="0" shapeId="0" xr:uid="{00000000-0006-0000-1F00-00000E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L26" authorId="0" shapeId="0" xr:uid="{00000000-0006-0000-1F00-00000F000000}">
      <text>
        <r>
          <rPr>
            <b/>
            <sz val="9"/>
            <color indexed="81"/>
            <rFont val="Tahoma"/>
            <family val="2"/>
          </rPr>
          <t>The adversary has very limited resources, expertise, and opportunities to support a successful attack.</t>
        </r>
      </text>
    </comment>
    <comment ref="C27" authorId="0" shapeId="0" xr:uid="{00000000-0006-0000-1F00-000010000000}">
      <text>
        <r>
          <rPr>
            <b/>
            <sz val="9"/>
            <color indexed="81"/>
            <rFont val="Tahoma"/>
            <family val="2"/>
          </rPr>
          <t>The adversary has very limited resources, expertise, and opportunities to support a successful attack.</t>
        </r>
      </text>
    </comment>
    <comment ref="L28" authorId="0" shapeId="0" xr:uid="{00000000-0006-0000-1F00-000011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L30" authorId="0" shapeId="0" xr:uid="{00000000-0006-0000-1F00-000012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L32" authorId="0" shapeId="0" xr:uid="{00000000-0006-0000-1F00-000013000000}">
      <text>
        <r>
          <rPr>
            <b/>
            <sz val="9"/>
            <color indexed="81"/>
            <rFont val="Tahoma"/>
            <family val="2"/>
          </rPr>
          <t>The adversary has a sophisticated level of expertise, with significant resources and opportunities to support multiple successful coordinated attacks.</t>
        </r>
      </text>
    </comment>
    <comment ref="E33" authorId="0" shapeId="0" xr:uid="{00000000-0006-0000-1F00-000014000000}">
      <text>
        <r>
          <rPr>
            <b/>
            <sz val="9"/>
            <color indexed="81"/>
            <rFont val="Tahoma"/>
            <family val="2"/>
          </rPr>
          <t>The adversary has very limited resources, expertise, and opportunities to support a successful attack.</t>
        </r>
      </text>
    </comment>
    <comment ref="F33" authorId="0" shapeId="0" xr:uid="{00000000-0006-0000-1F00-000015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G33" authorId="0" shapeId="0" xr:uid="{00000000-0006-0000-1F00-000016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H33" authorId="0" shapeId="0" xr:uid="{00000000-0006-0000-1F00-000017000000}">
      <text>
        <r>
          <rPr>
            <b/>
            <sz val="9"/>
            <color indexed="81"/>
            <rFont val="Tahoma"/>
            <family val="2"/>
          </rPr>
          <t>The adversary has a sophisticated level of expertise, with significant resources and opportunities to support multiple successful coordinated attacks.</t>
        </r>
      </text>
    </comment>
    <comment ref="I33" authorId="0" shapeId="0" xr:uid="{00000000-0006-0000-1F00-000018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L34" authorId="0" shapeId="0" xr:uid="{00000000-0006-0000-1F00-000019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35" authorId="0" shapeId="0" xr:uid="{00000000-0006-0000-1F00-00001A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36" authorId="0" shapeId="0" xr:uid="{00000000-0006-0000-1F00-00001B000000}">
      <text>
        <r>
          <rPr>
            <b/>
            <sz val="9"/>
            <color indexed="81"/>
            <rFont val="Tahoma"/>
            <family val="2"/>
          </rPr>
          <t>The adversary has a sophisticated level of expertise, with significant resources and opportunities to support multiple successful coordinated attacks.</t>
        </r>
      </text>
    </comment>
    <comment ref="C37" authorId="0" shapeId="0" xr:uid="{00000000-0006-0000-1F00-00001C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38" authorId="0" shapeId="0" xr:uid="{00000000-0006-0000-1F00-00001D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39" authorId="0" shapeId="0" xr:uid="{00000000-0006-0000-1F00-00001E000000}">
      <text>
        <r>
          <rPr>
            <b/>
            <sz val="9"/>
            <color indexed="81"/>
            <rFont val="Tahoma"/>
            <family val="2"/>
          </rPr>
          <t>The adversary has very limited resources, expertise, and opportunities to support a successful attack.</t>
        </r>
      </text>
    </comment>
    <comment ref="E45" authorId="0" shapeId="0" xr:uid="{00000000-0006-0000-1F00-00001F000000}">
      <text>
        <r>
          <rPr>
            <b/>
            <sz val="9"/>
            <color indexed="81"/>
            <rFont val="Tahoma"/>
            <family val="2"/>
          </rPr>
          <t>The adversary has very limited resources, expertise, and opportunities to support a successful attack.</t>
        </r>
      </text>
    </comment>
    <comment ref="F45" authorId="0" shapeId="0" xr:uid="{00000000-0006-0000-1F00-000020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G45" authorId="0" shapeId="0" xr:uid="{00000000-0006-0000-1F00-000021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H45" authorId="0" shapeId="0" xr:uid="{00000000-0006-0000-1F00-000022000000}">
      <text>
        <r>
          <rPr>
            <b/>
            <sz val="9"/>
            <color indexed="81"/>
            <rFont val="Tahoma"/>
            <family val="2"/>
          </rPr>
          <t>The adversary has a sophisticated level of expertise, with significant resources and opportunities to support multiple successful coordinated attacks.</t>
        </r>
      </text>
    </comment>
    <comment ref="I45" authorId="0" shapeId="0" xr:uid="{00000000-0006-0000-1F00-000023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47" authorId="0" shapeId="0" xr:uid="{00000000-0006-0000-1F00-000024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48" authorId="0" shapeId="0" xr:uid="{00000000-0006-0000-1F00-000025000000}">
      <text>
        <r>
          <rPr>
            <b/>
            <sz val="9"/>
            <color indexed="81"/>
            <rFont val="Tahoma"/>
            <family val="2"/>
          </rPr>
          <t>The adversary has a sophisticated level of expertise, with significant resources and opportunities to support multiple successful coordinated attacks.</t>
        </r>
      </text>
    </comment>
    <comment ref="C49" authorId="0" shapeId="0" xr:uid="{00000000-0006-0000-1F00-000026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50" authorId="0" shapeId="0" xr:uid="{00000000-0006-0000-1F00-000027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51" authorId="0" shapeId="0" xr:uid="{00000000-0006-0000-1F00-000028000000}">
      <text>
        <r>
          <rPr>
            <b/>
            <sz val="9"/>
            <color indexed="81"/>
            <rFont val="Tahoma"/>
            <family val="2"/>
          </rPr>
          <t>The adversary has very limited resources, expertise, and opportunities to support a successful attack.</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G20" authorId="0" shapeId="0" xr:uid="{00000000-0006-0000-2000-000001000000}">
      <text>
        <r>
          <rPr>
            <b/>
            <sz val="9"/>
            <color indexed="81"/>
            <rFont val="Tahoma"/>
            <family val="2"/>
          </rPr>
          <t>The adversary has very limited resources, expertise, and opportunities to support a successful attack.</t>
        </r>
      </text>
    </comment>
    <comment ref="I20" authorId="0" shapeId="0" xr:uid="{00000000-0006-0000-2000-000002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K20" authorId="0" shapeId="0" xr:uid="{00000000-0006-0000-2000-000003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M20" authorId="0" shapeId="0" xr:uid="{00000000-0006-0000-2000-000004000000}">
      <text>
        <r>
          <rPr>
            <b/>
            <sz val="9"/>
            <color indexed="81"/>
            <rFont val="Tahoma"/>
            <family val="2"/>
          </rPr>
          <t>The adversary has a sophisticated level of expertise, with significant resources and opportunities to support multiple successful coordinated attacks.</t>
        </r>
      </text>
    </comment>
    <comment ref="O20" authorId="0" shapeId="0" xr:uid="{00000000-0006-0000-2000-000005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E22" authorId="0" shapeId="0" xr:uid="{00000000-0006-0000-20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E23" authorId="0" shapeId="0" xr:uid="{00000000-0006-0000-2000-000007000000}">
      <text>
        <r>
          <rPr>
            <b/>
            <sz val="9"/>
            <color indexed="81"/>
            <rFont val="Tahoma"/>
            <family val="2"/>
          </rPr>
          <t>The adversary has a sophisticated level of expertise, with significant resources and opportunities to support multiple successful coordinated attacks.</t>
        </r>
      </text>
    </comment>
    <comment ref="E24" authorId="0" shapeId="0" xr:uid="{00000000-0006-0000-2000-000008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E25" authorId="0" shapeId="0" xr:uid="{00000000-0006-0000-2000-000009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E26" authorId="0" shapeId="0" xr:uid="{00000000-0006-0000-2000-00000A000000}">
      <text>
        <r>
          <rPr>
            <b/>
            <sz val="9"/>
            <color indexed="81"/>
            <rFont val="Tahoma"/>
            <family val="2"/>
          </rPr>
          <t>The adversary has very limited resources, expertise, and opportunities to support a successful attack.</t>
        </r>
      </text>
    </comment>
    <comment ref="D35" authorId="0" shapeId="0" xr:uid="{00000000-0006-0000-2000-00000B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D37" authorId="0" shapeId="0" xr:uid="{00000000-0006-0000-2000-00000C000000}">
      <text>
        <r>
          <rPr>
            <b/>
            <sz val="9"/>
            <color indexed="81"/>
            <rFont val="Tahoma"/>
            <family val="2"/>
          </rPr>
          <t>The adversary has a sophisticated level of expertise, with significant resources and opportunities to support multiple successful coordinated attacks.</t>
        </r>
      </text>
    </comment>
    <comment ref="D39" authorId="0" shapeId="0" xr:uid="{00000000-0006-0000-2000-00000D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D41" authorId="0" shapeId="0" xr:uid="{00000000-0006-0000-2000-00000E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D43" authorId="0" shapeId="0" xr:uid="{00000000-0006-0000-2000-00000F000000}">
      <text>
        <r>
          <rPr>
            <b/>
            <sz val="9"/>
            <color indexed="81"/>
            <rFont val="Tahoma"/>
            <family val="2"/>
          </rPr>
          <t>The adversary has very limited resources, expertise, and opportunities to support a successful attack.</t>
        </r>
      </text>
    </comment>
  </commentList>
</comments>
</file>

<file path=xl/comments14.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17" authorId="0" shapeId="0" xr:uid="{00000000-0006-0000-2C00-000001000000}">
      <text>
        <r>
          <rPr>
            <b/>
            <sz val="9"/>
            <color indexed="81"/>
            <rFont val="Tahoma"/>
            <family val="2"/>
          </rPr>
          <t>Select a Value</t>
        </r>
        <r>
          <rPr>
            <sz val="9"/>
            <color indexed="81"/>
            <rFont val="Tahoma"/>
            <family val="2"/>
          </rPr>
          <t xml:space="preserve">
</t>
        </r>
      </text>
    </comment>
    <comment ref="C18" authorId="0" shapeId="0" xr:uid="{00000000-0006-0000-2C00-000002000000}">
      <text>
        <r>
          <rPr>
            <b/>
            <sz val="9"/>
            <color indexed="81"/>
            <rFont val="Tahoma"/>
            <family val="2"/>
          </rPr>
          <t>The adversary has very limited resources, expertise, and opportunities to support a successful attack.</t>
        </r>
      </text>
    </comment>
    <comment ref="C19" authorId="0" shapeId="0" xr:uid="{00000000-0006-0000-2C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20" authorId="0" shapeId="0" xr:uid="{00000000-0006-0000-2C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1" authorId="0" shapeId="0" xr:uid="{00000000-0006-0000-2C00-000005000000}">
      <text>
        <r>
          <rPr>
            <b/>
            <sz val="9"/>
            <color indexed="81"/>
            <rFont val="Tahoma"/>
            <family val="2"/>
          </rPr>
          <t>The adversary has a sophisticated level of expertise, with significant resources and opportunities to support multiple successful coordinated attacks.</t>
        </r>
      </text>
    </comment>
    <comment ref="C22" authorId="0" shapeId="0" xr:uid="{00000000-0006-0000-2C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15.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17" authorId="0" shapeId="0" xr:uid="{00000000-0006-0000-2E00-000001000000}">
      <text>
        <r>
          <rPr>
            <b/>
            <sz val="9"/>
            <color indexed="81"/>
            <rFont val="Tahoma"/>
            <family val="2"/>
          </rPr>
          <t>Select a Value</t>
        </r>
        <r>
          <rPr>
            <sz val="9"/>
            <color indexed="81"/>
            <rFont val="Tahoma"/>
            <family val="2"/>
          </rPr>
          <t xml:space="preserve">
</t>
        </r>
      </text>
    </comment>
    <comment ref="C18" authorId="0" shapeId="0" xr:uid="{00000000-0006-0000-2E00-000002000000}">
      <text>
        <r>
          <rPr>
            <b/>
            <sz val="9"/>
            <color indexed="81"/>
            <rFont val="Tahoma"/>
            <family val="2"/>
          </rPr>
          <t>The adversary has very limited resources, expertise, and opportunities to support a successful attack.</t>
        </r>
      </text>
    </comment>
    <comment ref="C19" authorId="0" shapeId="0" xr:uid="{00000000-0006-0000-2E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20" authorId="0" shapeId="0" xr:uid="{00000000-0006-0000-2E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1" authorId="0" shapeId="0" xr:uid="{00000000-0006-0000-2E00-000005000000}">
      <text>
        <r>
          <rPr>
            <b/>
            <sz val="9"/>
            <color indexed="81"/>
            <rFont val="Tahoma"/>
            <family val="2"/>
          </rPr>
          <t>The adversary has a sophisticated level of expertise, with significant resources and opportunities to support multiple successful coordinated attacks.</t>
        </r>
      </text>
    </comment>
    <comment ref="C22" authorId="0" shapeId="0" xr:uid="{00000000-0006-0000-2E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16.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17" authorId="0" shapeId="0" xr:uid="{00000000-0006-0000-2F00-000001000000}">
      <text>
        <r>
          <rPr>
            <b/>
            <sz val="9"/>
            <color indexed="81"/>
            <rFont val="Tahoma"/>
            <family val="2"/>
          </rPr>
          <t>Select a Value</t>
        </r>
        <r>
          <rPr>
            <sz val="9"/>
            <color indexed="81"/>
            <rFont val="Tahoma"/>
            <family val="2"/>
          </rPr>
          <t xml:space="preserve">
</t>
        </r>
      </text>
    </comment>
    <comment ref="C18" authorId="0" shapeId="0" xr:uid="{00000000-0006-0000-2F00-000002000000}">
      <text>
        <r>
          <rPr>
            <b/>
            <sz val="9"/>
            <color indexed="81"/>
            <rFont val="Tahoma"/>
            <family val="2"/>
          </rPr>
          <t>The adversary has very limited resources, expertise, and opportunities to support a successful attack.</t>
        </r>
      </text>
    </comment>
    <comment ref="C19" authorId="0" shapeId="0" xr:uid="{00000000-0006-0000-2F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20" authorId="0" shapeId="0" xr:uid="{00000000-0006-0000-2F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1" authorId="0" shapeId="0" xr:uid="{00000000-0006-0000-2F00-000005000000}">
      <text>
        <r>
          <rPr>
            <b/>
            <sz val="9"/>
            <color indexed="81"/>
            <rFont val="Tahoma"/>
            <family val="2"/>
          </rPr>
          <t>The adversary has a sophisticated level of expertise, with significant resources and opportunities to support multiple successful coordinated attacks.</t>
        </r>
      </text>
    </comment>
    <comment ref="C22" authorId="0" shapeId="0" xr:uid="{00000000-0006-0000-2F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30" authorId="0" shapeId="0" xr:uid="{00000000-0006-0000-0D00-000001000000}">
      <text>
        <r>
          <rPr>
            <b/>
            <sz val="9"/>
            <color indexed="81"/>
            <rFont val="Tahoma"/>
            <family val="2"/>
          </rPr>
          <t>Select a Value</t>
        </r>
        <r>
          <rPr>
            <sz val="9"/>
            <color indexed="81"/>
            <rFont val="Tahoma"/>
            <family val="2"/>
          </rPr>
          <t xml:space="preserve">
</t>
        </r>
      </text>
    </comment>
    <comment ref="C31" authorId="0" shapeId="0" xr:uid="{00000000-0006-0000-0D00-000002000000}">
      <text>
        <r>
          <rPr>
            <b/>
            <sz val="9"/>
            <color indexed="81"/>
            <rFont val="Tahoma"/>
            <family val="2"/>
          </rPr>
          <t>The adversary has very limited resources, expertise, and opportunities to support a successful attack.</t>
        </r>
      </text>
    </comment>
    <comment ref="C32" authorId="0" shapeId="0" xr:uid="{00000000-0006-0000-0D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33" authorId="0" shapeId="0" xr:uid="{00000000-0006-0000-0D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34" authorId="0" shapeId="0" xr:uid="{00000000-0006-0000-0D00-000005000000}">
      <text>
        <r>
          <rPr>
            <b/>
            <sz val="9"/>
            <color indexed="81"/>
            <rFont val="Tahoma"/>
            <family val="2"/>
          </rPr>
          <t>The adversary has a sophisticated level of expertise, with significant resources and opportunities to support multiple successful coordinated attacks.</t>
        </r>
      </text>
    </comment>
    <comment ref="C35" authorId="0" shapeId="0" xr:uid="{00000000-0006-0000-0D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30" authorId="0" shapeId="0" xr:uid="{00000000-0006-0000-0E00-000001000000}">
      <text>
        <r>
          <rPr>
            <b/>
            <sz val="9"/>
            <color indexed="81"/>
            <rFont val="Tahoma"/>
            <family val="2"/>
          </rPr>
          <t>Select a Value</t>
        </r>
        <r>
          <rPr>
            <sz val="9"/>
            <color indexed="81"/>
            <rFont val="Tahoma"/>
            <family val="2"/>
          </rPr>
          <t xml:space="preserve">
</t>
        </r>
      </text>
    </comment>
    <comment ref="C31" authorId="0" shapeId="0" xr:uid="{00000000-0006-0000-0E00-000002000000}">
      <text>
        <r>
          <rPr>
            <b/>
            <sz val="9"/>
            <color indexed="81"/>
            <rFont val="Tahoma"/>
            <family val="2"/>
          </rPr>
          <t>The adversary has very limited resources, expertise, and opportunities to support a successful attack.</t>
        </r>
      </text>
    </comment>
    <comment ref="C32" authorId="0" shapeId="0" xr:uid="{00000000-0006-0000-0E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33" authorId="0" shapeId="0" xr:uid="{00000000-0006-0000-0E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34" authorId="0" shapeId="0" xr:uid="{00000000-0006-0000-0E00-000005000000}">
      <text>
        <r>
          <rPr>
            <b/>
            <sz val="9"/>
            <color indexed="81"/>
            <rFont val="Tahoma"/>
            <family val="2"/>
          </rPr>
          <t>The adversary has a sophisticated level of expertise, with significant resources and opportunities to support multiple successful coordinated attacks.</t>
        </r>
      </text>
    </comment>
    <comment ref="C35" authorId="0" shapeId="0" xr:uid="{00000000-0006-0000-0E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30" authorId="0" shapeId="0" xr:uid="{00000000-0006-0000-0F00-000001000000}">
      <text>
        <r>
          <rPr>
            <b/>
            <sz val="9"/>
            <color indexed="81"/>
            <rFont val="Tahoma"/>
            <family val="2"/>
          </rPr>
          <t>Select a Value</t>
        </r>
        <r>
          <rPr>
            <sz val="9"/>
            <color indexed="81"/>
            <rFont val="Tahoma"/>
            <family val="2"/>
          </rPr>
          <t xml:space="preserve">
</t>
        </r>
      </text>
    </comment>
    <comment ref="C31" authorId="0" shapeId="0" xr:uid="{00000000-0006-0000-0F00-000002000000}">
      <text>
        <r>
          <rPr>
            <b/>
            <sz val="9"/>
            <color indexed="81"/>
            <rFont val="Tahoma"/>
            <family val="2"/>
          </rPr>
          <t>The adversary has very limited resources, expertise, and opportunities to support a successful attack.</t>
        </r>
      </text>
    </comment>
    <comment ref="C32" authorId="0" shapeId="0" xr:uid="{00000000-0006-0000-0F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33" authorId="0" shapeId="0" xr:uid="{00000000-0006-0000-0F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34" authorId="0" shapeId="0" xr:uid="{00000000-0006-0000-0F00-000005000000}">
      <text>
        <r>
          <rPr>
            <b/>
            <sz val="9"/>
            <color indexed="81"/>
            <rFont val="Tahoma"/>
            <family val="2"/>
          </rPr>
          <t>The adversary has a sophisticated level of expertise, with significant resources and opportunities to support multiple successful coordinated attacks.</t>
        </r>
      </text>
    </comment>
    <comment ref="C35" authorId="0" shapeId="0" xr:uid="{00000000-0006-0000-0F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 ref="C36" authorId="0" shapeId="0" xr:uid="{00000000-0006-0000-0F00-000007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17" authorId="0" shapeId="0" xr:uid="{00000000-0006-0000-1400-000001000000}">
      <text>
        <r>
          <rPr>
            <b/>
            <sz val="9"/>
            <color indexed="81"/>
            <rFont val="Tahoma"/>
            <family val="2"/>
          </rPr>
          <t>Select a Value</t>
        </r>
        <r>
          <rPr>
            <sz val="9"/>
            <color indexed="81"/>
            <rFont val="Tahoma"/>
            <family val="2"/>
          </rPr>
          <t xml:space="preserve">
</t>
        </r>
      </text>
    </comment>
    <comment ref="C18" authorId="0" shapeId="0" xr:uid="{00000000-0006-0000-1400-000002000000}">
      <text>
        <r>
          <rPr>
            <b/>
            <sz val="9"/>
            <color indexed="81"/>
            <rFont val="Tahoma"/>
            <family val="2"/>
          </rPr>
          <t>The adversary has very limited resources, expertise, and opportunities to support a successful attack.</t>
        </r>
      </text>
    </comment>
    <comment ref="C19" authorId="0" shapeId="0" xr:uid="{00000000-0006-0000-14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20" authorId="0" shapeId="0" xr:uid="{00000000-0006-0000-14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1" authorId="0" shapeId="0" xr:uid="{00000000-0006-0000-1400-000005000000}">
      <text>
        <r>
          <rPr>
            <b/>
            <sz val="9"/>
            <color indexed="81"/>
            <rFont val="Tahoma"/>
            <family val="2"/>
          </rPr>
          <t>The adversary has a sophisticated level of expertise, with significant resources and opportunities to support multiple successful coordinated attacks.</t>
        </r>
      </text>
    </comment>
    <comment ref="C22" authorId="0" shapeId="0" xr:uid="{00000000-0006-0000-14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30" authorId="0" shapeId="0" xr:uid="{00000000-0006-0000-1600-000001000000}">
      <text>
        <r>
          <rPr>
            <b/>
            <sz val="9"/>
            <color indexed="81"/>
            <rFont val="Tahoma"/>
            <family val="2"/>
          </rPr>
          <t>Select a Value</t>
        </r>
        <r>
          <rPr>
            <sz val="9"/>
            <color indexed="81"/>
            <rFont val="Tahoma"/>
            <family val="2"/>
          </rPr>
          <t xml:space="preserve">
</t>
        </r>
      </text>
    </comment>
    <comment ref="C31" authorId="0" shapeId="0" xr:uid="{00000000-0006-0000-1600-000002000000}">
      <text>
        <r>
          <rPr>
            <b/>
            <sz val="9"/>
            <color indexed="81"/>
            <rFont val="Tahoma"/>
            <family val="2"/>
          </rPr>
          <t>The adversary has very limited resources, expertise, and opportunities to support a successful attack.</t>
        </r>
      </text>
    </comment>
    <comment ref="C32" authorId="0" shapeId="0" xr:uid="{00000000-0006-0000-16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33" authorId="0" shapeId="0" xr:uid="{00000000-0006-0000-16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34" authorId="0" shapeId="0" xr:uid="{00000000-0006-0000-1600-000005000000}">
      <text>
        <r>
          <rPr>
            <b/>
            <sz val="9"/>
            <color indexed="81"/>
            <rFont val="Tahoma"/>
            <family val="2"/>
          </rPr>
          <t>The adversary has a sophisticated level of expertise, with significant resources and opportunities to support multiple successful coordinated attacks.</t>
        </r>
      </text>
    </comment>
    <comment ref="C35" authorId="0" shapeId="0" xr:uid="{00000000-0006-0000-16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17" authorId="0" shapeId="0" xr:uid="{00000000-0006-0000-1800-000001000000}">
      <text>
        <r>
          <rPr>
            <b/>
            <sz val="9"/>
            <color indexed="81"/>
            <rFont val="Tahoma"/>
            <family val="2"/>
          </rPr>
          <t>Select a Value</t>
        </r>
        <r>
          <rPr>
            <sz val="9"/>
            <color indexed="81"/>
            <rFont val="Tahoma"/>
            <family val="2"/>
          </rPr>
          <t xml:space="preserve">
</t>
        </r>
      </text>
    </comment>
    <comment ref="C18" authorId="0" shapeId="0" xr:uid="{00000000-0006-0000-1800-000002000000}">
      <text>
        <r>
          <rPr>
            <b/>
            <sz val="9"/>
            <color indexed="81"/>
            <rFont val="Tahoma"/>
            <family val="2"/>
          </rPr>
          <t>The adversary has very limited resources, expertise, and opportunities to support a successful attack.</t>
        </r>
      </text>
    </comment>
    <comment ref="C19" authorId="0" shapeId="0" xr:uid="{00000000-0006-0000-18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20" authorId="0" shapeId="0" xr:uid="{00000000-0006-0000-18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1" authorId="0" shapeId="0" xr:uid="{00000000-0006-0000-1800-000005000000}">
      <text>
        <r>
          <rPr>
            <b/>
            <sz val="9"/>
            <color indexed="81"/>
            <rFont val="Tahoma"/>
            <family val="2"/>
          </rPr>
          <t>The adversary has a sophisticated level of expertise, with significant resources and opportunities to support multiple successful coordinated attacks.</t>
        </r>
      </text>
    </comment>
    <comment ref="C22" authorId="0" shapeId="0" xr:uid="{00000000-0006-0000-18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C17" authorId="0" shapeId="0" xr:uid="{00000000-0006-0000-1900-000001000000}">
      <text>
        <r>
          <rPr>
            <b/>
            <sz val="9"/>
            <color indexed="81"/>
            <rFont val="Tahoma"/>
            <family val="2"/>
          </rPr>
          <t>Select a Value</t>
        </r>
        <r>
          <rPr>
            <sz val="9"/>
            <color indexed="81"/>
            <rFont val="Tahoma"/>
            <family val="2"/>
          </rPr>
          <t xml:space="preserve">
</t>
        </r>
      </text>
    </comment>
    <comment ref="C18" authorId="0" shapeId="0" xr:uid="{00000000-0006-0000-1900-000002000000}">
      <text>
        <r>
          <rPr>
            <b/>
            <sz val="9"/>
            <color indexed="81"/>
            <rFont val="Tahoma"/>
            <family val="2"/>
          </rPr>
          <t>The adversary has very limited resources, expertise, and opportunities to support a successful attack.</t>
        </r>
      </text>
    </comment>
    <comment ref="C19" authorId="0" shapeId="0" xr:uid="{00000000-0006-0000-1900-000003000000}">
      <text>
        <r>
          <rPr>
            <b/>
            <sz val="9"/>
            <color indexed="81"/>
            <rFont val="Tahoma"/>
            <family val="2"/>
          </rPr>
          <t xml:space="preserve">The adversary has limited resources, expertise, and opportunities to support a successful attack.
</t>
        </r>
        <r>
          <rPr>
            <sz val="9"/>
            <color indexed="81"/>
            <rFont val="Tahoma"/>
            <family val="2"/>
          </rPr>
          <t xml:space="preserve">
</t>
        </r>
      </text>
    </comment>
    <comment ref="C20" authorId="0" shapeId="0" xr:uid="{00000000-0006-0000-1900-000004000000}">
      <text>
        <r>
          <rPr>
            <b/>
            <sz val="9"/>
            <color indexed="81"/>
            <rFont val="Tahoma"/>
            <family val="2"/>
          </rPr>
          <t>The adversary has moderate resources, expertise, and opportunities to support multiple successful attacks.</t>
        </r>
        <r>
          <rPr>
            <sz val="9"/>
            <color indexed="81"/>
            <rFont val="Tahoma"/>
            <family val="2"/>
          </rPr>
          <t xml:space="preserve">
</t>
        </r>
      </text>
    </comment>
    <comment ref="C21" authorId="0" shapeId="0" xr:uid="{00000000-0006-0000-1900-000005000000}">
      <text>
        <r>
          <rPr>
            <b/>
            <sz val="9"/>
            <color indexed="81"/>
            <rFont val="Tahoma"/>
            <family val="2"/>
          </rPr>
          <t>The adversary has a sophisticated level of expertise, with significant resources and opportunities to support multiple successful coordinated attacks.</t>
        </r>
      </text>
    </comment>
    <comment ref="C22" authorId="0" shapeId="0" xr:uid="{00000000-0006-0000-1900-000006000000}">
      <text>
        <r>
          <rPr>
            <b/>
            <sz val="9"/>
            <color indexed="81"/>
            <rFont val="Tahoma"/>
            <family val="2"/>
          </rPr>
          <t>The adversary has a very sophisticated level of expertise, is well-resourced, and can generate opportunities to support multiple successful, continuous, and coordinated attacks.</t>
        </r>
        <r>
          <rPr>
            <sz val="9"/>
            <color indexed="81"/>
            <rFont val="Tahoma"/>
            <family val="2"/>
          </rPr>
          <t xml:space="preserve">
</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Pommer, Karl Eugene II</author>
  </authors>
  <commentList>
    <comment ref="N34" authorId="0" shapeId="0" xr:uid="{00000000-0006-0000-1C00-000001000000}">
      <text>
        <r>
          <rPr>
            <b/>
            <sz val="9"/>
            <color indexed="81"/>
            <rFont val="Tahoma"/>
            <family val="2"/>
          </rPr>
          <t>The adversary has very limited resources, expertise, and opportunities to support a successful attack.</t>
        </r>
      </text>
    </comment>
  </commentList>
</comments>
</file>

<file path=xl/sharedStrings.xml><?xml version="1.0" encoding="utf-8"?>
<sst xmlns="http://schemas.openxmlformats.org/spreadsheetml/2006/main" count="5511" uniqueCount="2262">
  <si>
    <t>Table D-2 Taxonomy of Threat Sources (Type)</t>
  </si>
  <si>
    <t>Adversarial</t>
  </si>
  <si>
    <t>Structural</t>
  </si>
  <si>
    <t>Environmental</t>
  </si>
  <si>
    <t>Individual - Outsider</t>
  </si>
  <si>
    <t>Group - Ad Hoc</t>
  </si>
  <si>
    <t>Group - Established</t>
  </si>
  <si>
    <t xml:space="preserve">Organization - Competitor </t>
  </si>
  <si>
    <t>Organization - Supplier</t>
  </si>
  <si>
    <t xml:space="preserve">Organization - Partner </t>
  </si>
  <si>
    <t xml:space="preserve">Organization - Customer </t>
  </si>
  <si>
    <t>Nation-State</t>
  </si>
  <si>
    <t>Individual - Insider</t>
  </si>
  <si>
    <t>Individual - Trusted Insider</t>
  </si>
  <si>
    <t>Individual - Privileged Insider</t>
  </si>
  <si>
    <t>User</t>
  </si>
  <si>
    <t>Privileged User/Administrator</t>
  </si>
  <si>
    <t>Informational (IT) Equipment</t>
  </si>
  <si>
    <t>Storage</t>
  </si>
  <si>
    <t>Processing</t>
  </si>
  <si>
    <t>Communications</t>
  </si>
  <si>
    <t>Display</t>
  </si>
  <si>
    <t>Sensor</t>
  </si>
  <si>
    <t>Controller</t>
  </si>
  <si>
    <t>Environmental - Temperature/Humidity</t>
  </si>
  <si>
    <t>Power Supply</t>
  </si>
  <si>
    <t>Software - Operating System</t>
  </si>
  <si>
    <t>Software - Networking</t>
  </si>
  <si>
    <t>Software - General Purpose Applications</t>
  </si>
  <si>
    <t>Software - Mission Specific Applications</t>
  </si>
  <si>
    <t>Flood/Tsumami</t>
  </si>
  <si>
    <t>Natural or Man Made Disaster</t>
  </si>
  <si>
    <t>Fire</t>
  </si>
  <si>
    <t>Windstorm/Tornado</t>
  </si>
  <si>
    <t>Hurricane</t>
  </si>
  <si>
    <t>Earthquake</t>
  </si>
  <si>
    <t>Bombing</t>
  </si>
  <si>
    <t>Overrun</t>
  </si>
  <si>
    <t>Infrastruture Failure/Outage</t>
  </si>
  <si>
    <t>Telecommunications</t>
  </si>
  <si>
    <t>Electrical Power</t>
  </si>
  <si>
    <t>Accidental</t>
  </si>
  <si>
    <t>Threat Source</t>
  </si>
  <si>
    <t>Table D-2: Threat Source</t>
  </si>
  <si>
    <t>https://www.youtube.com/watch?v=VxReJslyJm8</t>
  </si>
  <si>
    <t>Inspirational Source:</t>
  </si>
  <si>
    <t>Smart Dep. Drop-Down Lists in Excel: Expandable &amp; Exclude Blank Cells</t>
  </si>
  <si>
    <t>Leila Gharani</t>
  </si>
  <si>
    <t>Semi-Quantitative</t>
  </si>
  <si>
    <t xml:space="preserve">https://youtu.be/F264FpBDX28 </t>
  </si>
  <si>
    <t xml:space="preserve">https://youtu.be/RPTQjbk2qy4 </t>
  </si>
  <si>
    <t>https://www.youtube.com/watch?v=Ni1GE-Cuijg</t>
  </si>
  <si>
    <t>Rows - Rows down from reference cell</t>
  </si>
  <si>
    <t>Cols - Columns to move to the right</t>
  </si>
  <si>
    <t>height - height in cells</t>
  </si>
  <si>
    <t>width - width in cells</t>
  </si>
  <si>
    <t>lookup value - What string is it looking for</t>
  </si>
  <si>
    <t>lookup array - a one-way (H or V) range of cells to search</t>
  </si>
  <si>
    <t>match type (1=less than; o=exact; -1=Greater than)</t>
  </si>
  <si>
    <t>returns index number found for lookup value in the in the lookup array</t>
  </si>
  <si>
    <t>returns - a range of string values defined by the array (height &amp; width)</t>
  </si>
  <si>
    <t>match</t>
  </si>
  <si>
    <t>https://www.youtube.com/watch?v=F264FpBDX28&amp;feature=youtu.be</t>
  </si>
  <si>
    <t>Array - Location of cells to be searched</t>
  </si>
  <si>
    <t>row_num - row index in the array</t>
  </si>
  <si>
    <t>col_num - column index in the array</t>
  </si>
  <si>
    <t>https://www.youtube.com/watch?v=KkTaQ5OjAGc</t>
  </si>
  <si>
    <t>Logical_test - ex. (B5 &gt; 15000)</t>
  </si>
  <si>
    <t>Value_if_true - "Good" or $C$3</t>
  </si>
  <si>
    <t>Value_if_false - ""  == Blank/Nothing</t>
  </si>
  <si>
    <t>Returns depends on True or False</t>
  </si>
  <si>
    <t>Funtions that return numbers:</t>
  </si>
  <si>
    <t>Count &amp; Counta</t>
  </si>
  <si>
    <t>row</t>
  </si>
  <si>
    <t>column</t>
  </si>
  <si>
    <t>Returns - contex of selected  cell</t>
  </si>
  <si>
    <t>https://www.youtube.com/watch?v=4ca30mU5E9I</t>
  </si>
  <si>
    <t>$A  AKA Col 1</t>
  </si>
  <si>
    <t>$B  AKA Col 2</t>
  </si>
  <si>
    <t>$C  AKA Col 3</t>
  </si>
  <si>
    <t>$D  AKA Col 4</t>
  </si>
  <si>
    <t>https://www.youtube.com/watch?v=WYZx7noLbKI</t>
  </si>
  <si>
    <t>change Excel Cell Color based on cell value using the 'Conditional Formatting'</t>
  </si>
  <si>
    <t>Home Tab -&gt; Conditional Formatting -&gt; Highlight Cell Rules</t>
  </si>
  <si>
    <t>Excel Conditional Formating - Create your own rules - Complex Examples</t>
  </si>
  <si>
    <t>https://www.youtube.com/watch?v=eszo8z0a4YQ</t>
  </si>
  <si>
    <t>Fomat Cell Based on Value of Another Cell in Excel</t>
  </si>
  <si>
    <t>https://www.youtube.com/watch?v=jOuWsIVsd8Q</t>
  </si>
  <si>
    <t>4 Smart Ways to use Custom Formatting instead of Conditional Formatting in Excel - Part 1</t>
  </si>
  <si>
    <t>https://www.youtube.com/watch?v=tGY70sdpaLc</t>
  </si>
  <si>
    <t>https://support.office.com/en-us/article/keyboard-shortcuts-in-excel-for-windows-1798d9d5-842a-42b8-9c99-9b7213f0040f</t>
  </si>
  <si>
    <t>F4</t>
  </si>
  <si>
    <t>Keyboard shortcuts in Excel for Windows</t>
  </si>
  <si>
    <t>F9</t>
  </si>
  <si>
    <t>evaluate parts of a formula</t>
  </si>
  <si>
    <t>https://exceljet.net/keyboard-shortcuts/evaluate-part-of-a-formula</t>
  </si>
  <si>
    <t>222 Excel shortcuts for Windows and Mac</t>
  </si>
  <si>
    <t>https://exceljet.net/keyboard-shortcuts</t>
  </si>
  <si>
    <t>toggles cell references from relative to absolute</t>
  </si>
  <si>
    <t>https://exceljet.net/keyboard-shortcuts/toggle-absolute-and-relative-references</t>
  </si>
  <si>
    <t>Excel Function Guide</t>
  </si>
  <si>
    <t>https://exceljet.net/excel-functions</t>
  </si>
  <si>
    <t>Description:</t>
  </si>
  <si>
    <t>Low Limit</t>
  </si>
  <si>
    <t>Not to Exceed Limit</t>
  </si>
  <si>
    <t>https://www.youtube.com/watch?v=E7gQ-PgYkMc</t>
  </si>
  <si>
    <t>Excel VLOOKUP: Basics of VLOOKUP and HLOOKUP explained with examples</t>
  </si>
  <si>
    <t>Lookup_Value</t>
  </si>
  <si>
    <t>Table_Array</t>
  </si>
  <si>
    <t>Col_Index_num</t>
  </si>
  <si>
    <t>Range_lookup</t>
  </si>
  <si>
    <t>Returns</t>
  </si>
  <si>
    <t>value</t>
  </si>
  <si>
    <t>Full table includes answer</t>
  </si>
  <si>
    <t>Which column to look at</t>
  </si>
  <si>
    <t>false == "Exact Match)</t>
  </si>
  <si>
    <t>Unusual Natural Event (Sunspots, etc.)</t>
  </si>
  <si>
    <t>Mean value</t>
  </si>
  <si>
    <t>Create a Fill In Form Cell With A Default Value Selection</t>
  </si>
  <si>
    <t>https://www.youtube.com/watch?v=WAAjvt-ehp0</t>
  </si>
  <si>
    <t>F3</t>
  </si>
  <si>
    <t>Paste Name box</t>
  </si>
  <si>
    <t>1. Define "Default Formula" in "NameManager" -e.g., DefaultValue.</t>
  </si>
  <si>
    <t>2. Data Valadation: List with formula of "+DefaultValue"</t>
  </si>
  <si>
    <t>Replace Formula In Excel</t>
  </si>
  <si>
    <t>https://www.youtube.com/watch?v=vjAx1c57khc</t>
  </si>
  <si>
    <t xml:space="preserve">3. Data Valadation Continued): Error Alert Tab: Unclick "Show error alert after invalid data is entered". </t>
  </si>
  <si>
    <t>Help:  Select an [Adversarial Capability] and then accept /change the [SME Rating?] value</t>
  </si>
  <si>
    <t>80-95+  (High)</t>
  </si>
  <si>
    <t>21-79+  (Moderate)</t>
  </si>
  <si>
    <t>5-20+   (Low)</t>
  </si>
  <si>
    <t>0-4+    (Very Low)</t>
  </si>
  <si>
    <t>-1       Help</t>
  </si>
  <si>
    <t>D3: Adversarial Capability</t>
  </si>
  <si>
    <t>MeanValue_D3</t>
  </si>
  <si>
    <t>SME Rating?</t>
  </si>
  <si>
    <t>F17</t>
  </si>
  <si>
    <t>f18</t>
  </si>
  <si>
    <t>f19</t>
  </si>
  <si>
    <t>f20</t>
  </si>
  <si>
    <t>f21</t>
  </si>
  <si>
    <t>f22</t>
  </si>
  <si>
    <t>SelNewVal_D2</t>
  </si>
  <si>
    <t>CheckVal_D2</t>
  </si>
  <si>
    <t>IF(CheckVal_D2,"Select a New Threat","")</t>
  </si>
  <si>
    <t>96-100  (Very High)</t>
  </si>
  <si>
    <t>D3: Adversarial Intent</t>
  </si>
  <si>
    <t>D4: Adversarial Intent</t>
  </si>
  <si>
    <t>21-79+ (Moderate)</t>
  </si>
  <si>
    <t>D6: Non-Adversarial Threats</t>
  </si>
  <si>
    <t>D5: Adversarial Targeting</t>
  </si>
  <si>
    <t>C7</t>
  </si>
  <si>
    <t>D7</t>
  </si>
  <si>
    <t>In Scope</t>
  </si>
  <si>
    <t>Current ID</t>
  </si>
  <si>
    <t>Next ID</t>
  </si>
  <si>
    <t>Previous ID</t>
  </si>
  <si>
    <t>Non-Adversarial Threat Source of Information (D2)</t>
  </si>
  <si>
    <t>Range of Effects (D6)</t>
  </si>
  <si>
    <t>D2_D8</t>
  </si>
  <si>
    <t>Table D8: Non-Adversarial Threats</t>
  </si>
  <si>
    <t>D2_d8</t>
  </si>
  <si>
    <t>D6_d8</t>
  </si>
  <si>
    <t>k5</t>
  </si>
  <si>
    <t>IFERROR(SEARCH("Error",Z1a!$K$5),0)</t>
  </si>
  <si>
    <t>k7</t>
  </si>
  <si>
    <t>L7</t>
  </si>
  <si>
    <t>IFERROR(SEARCH("Error",Z1a!$D$6),0)</t>
  </si>
  <si>
    <t>Threat Type</t>
  </si>
  <si>
    <t>Non-Adversarial</t>
  </si>
  <si>
    <t>Threat Type:</t>
  </si>
  <si>
    <t>D6: Non-Adversarial Effects</t>
  </si>
  <si>
    <t>D3: SME Rating?</t>
  </si>
  <si>
    <t>D4: SME Rating?</t>
  </si>
  <si>
    <t>D5: SME Rating?</t>
  </si>
  <si>
    <t>D6: SME Rating?</t>
  </si>
  <si>
    <t>n/a</t>
  </si>
  <si>
    <t>MeanD3::D-Tables</t>
  </si>
  <si>
    <t>MeanD4::D-Tables</t>
  </si>
  <si>
    <t>MeanD6::D-Tables</t>
  </si>
  <si>
    <t>MeanD5::D-Tables</t>
  </si>
  <si>
    <t>-1       Help (n/a)</t>
  </si>
  <si>
    <t>Organization Definition #1</t>
  </si>
  <si>
    <t>Organization Definition #2</t>
  </si>
  <si>
    <t>Organization Definition #3</t>
  </si>
  <si>
    <t>Organization Definition #4</t>
  </si>
  <si>
    <t>Other</t>
  </si>
  <si>
    <t>Legal</t>
  </si>
  <si>
    <t>Political</t>
  </si>
  <si>
    <t>Reputation</t>
  </si>
  <si>
    <t>Funding</t>
  </si>
  <si>
    <t>Community</t>
  </si>
  <si>
    <t>$E AKA Col 5</t>
  </si>
  <si>
    <t>J5</t>
  </si>
  <si>
    <t>IF(MATCH('D2'!$I$6,'D2'!$C$3:$F$3,0)&lt;&gt;SUM(IF(IFNA(MATCH('D2'!$J$6,'D2'!$C$4:$C$43,0),0), 1,0), IF(IFNA(MATCH('D2'!$J$6,'D2'!$D$4:$D$43,0),0),2,0), IF(IFNA(MATCH('D2'!$J$6,'D2'!$E$4:$E$43,0),0),3,0), IF(IFNA(MATCH('D2'!$J$6,'D2'!$F$4:$F$43,0),0),4,0) ),1,0)</t>
  </si>
  <si>
    <t>Technical</t>
  </si>
  <si>
    <t>Date (yyyy-mm-dd)</t>
  </si>
  <si>
    <t>Facilitator</t>
  </si>
  <si>
    <t>(0 to 100)</t>
  </si>
  <si>
    <t>C24</t>
  </si>
  <si>
    <t>D24</t>
  </si>
  <si>
    <t>E24</t>
  </si>
  <si>
    <t>F24</t>
  </si>
  <si>
    <t>G24</t>
  </si>
  <si>
    <t>B3</t>
  </si>
  <si>
    <t>D3</t>
  </si>
  <si>
    <t>E3</t>
  </si>
  <si>
    <t>G3</t>
  </si>
  <si>
    <t>D2'!C3</t>
  </si>
  <si>
    <t>ID_Number</t>
  </si>
  <si>
    <t>Project Name</t>
  </si>
  <si>
    <t>Staff</t>
  </si>
  <si>
    <t xml:space="preserve"> J.B.Pelt; B.T.Mancuso; J. Reacher</t>
  </si>
  <si>
    <t>https://nvlpubs.nist.gov/nistpubs/Legacy/SP/nistspecialpublication800-30r1.pdf</t>
  </si>
  <si>
    <r>
      <t>Completed Examples (</t>
    </r>
    <r>
      <rPr>
        <b/>
        <sz val="14"/>
        <color rgb="FFC00000"/>
        <rFont val="Calibri"/>
        <family val="2"/>
        <scheme val="minor"/>
      </rPr>
      <t>For Illustration only</t>
    </r>
    <r>
      <rPr>
        <b/>
        <sz val="14"/>
        <color theme="1"/>
        <rFont val="Calibri"/>
        <family val="2"/>
        <scheme val="minor"/>
      </rPr>
      <t>):</t>
    </r>
  </si>
  <si>
    <t>G2 / G3</t>
  </si>
  <si>
    <t>vs</t>
  </si>
  <si>
    <t>G4</t>
  </si>
  <si>
    <t>Reference: Table G-6</t>
  </si>
  <si>
    <t>https://www.youtube.com/watch?v=XeNJ44TgyEM</t>
  </si>
  <si>
    <t>Nov 2013 NIST Workshop Part One - Hosted by the California Information Security Office</t>
  </si>
  <si>
    <t>Table F-3 ( IDENTIFICATION OF VULNERABILITIES)</t>
  </si>
  <si>
    <t>Table F-6 (IDENTIFICATION OF PREDISPOSING CONDITIONS)</t>
  </si>
  <si>
    <t>Table F-2:</t>
  </si>
  <si>
    <t>Table -F-4:</t>
  </si>
  <si>
    <t>Table F-5:</t>
  </si>
  <si>
    <t>Identifier:</t>
  </si>
  <si>
    <r>
      <rPr>
        <b/>
        <sz val="11"/>
        <color theme="1"/>
        <rFont val="Calibri"/>
        <family val="2"/>
        <scheme val="minor"/>
      </rPr>
      <t>Vulnerability</t>
    </r>
    <r>
      <rPr>
        <sz val="11"/>
        <color theme="1"/>
        <rFont val="Calibri"/>
        <family val="2"/>
        <scheme val="minor"/>
      </rPr>
      <t xml:space="preserve"> - Source of Information:</t>
    </r>
  </si>
  <si>
    <t>Vulnerability - Severity:</t>
  </si>
  <si>
    <t>Predisposing Condition Source of Information:</t>
  </si>
  <si>
    <t>Pervasiveness of Condition:</t>
  </si>
  <si>
    <t xml:space="preserve"> (Task 2-3, Task 1-4 )</t>
  </si>
  <si>
    <t>Semi-Qualitatiave (1 - 100)</t>
  </si>
  <si>
    <t>Workstation</t>
  </si>
  <si>
    <t>Information-Related - Controlled Unclassified Information</t>
  </si>
  <si>
    <t>Very High</t>
  </si>
  <si>
    <t>Data Center (Server Complex)</t>
  </si>
  <si>
    <t>Technical - Functional - Single-user</t>
  </si>
  <si>
    <t>Low</t>
  </si>
  <si>
    <t>TASK 1-4:</t>
  </si>
  <si>
    <t>IDENTIFY INFORMATION SOURCES - Source: NIST 800-30 Rev 1</t>
  </si>
  <si>
    <t>Descriptive information enables organizations to be able to determine the relevance of threat and vulnerability information.</t>
  </si>
  <si>
    <t xml:space="preserve">Tier 3: </t>
  </si>
  <si>
    <r>
      <t xml:space="preserve">Descriptive information can include, for example, information about: 
  (i) the </t>
    </r>
    <r>
      <rPr>
        <sz val="11"/>
        <color rgb="FFC00000"/>
        <rFont val="Calibri"/>
        <family val="2"/>
        <scheme val="minor"/>
      </rPr>
      <t>design of and technologies</t>
    </r>
    <r>
      <rPr>
        <sz val="11"/>
        <color theme="1"/>
        <rFont val="Calibri"/>
        <family val="2"/>
        <scheme val="minor"/>
      </rPr>
      <t xml:space="preserve"> used in organizational information systems; 
  (ii) the </t>
    </r>
    <r>
      <rPr>
        <sz val="11"/>
        <color rgb="FFC00000"/>
        <rFont val="Calibri"/>
        <family val="2"/>
        <scheme val="minor"/>
      </rPr>
      <t>environment</t>
    </r>
    <r>
      <rPr>
        <sz val="11"/>
        <color theme="1"/>
        <rFont val="Calibri"/>
        <family val="2"/>
        <scheme val="minor"/>
      </rPr>
      <t xml:space="preserve"> in which the systems operate; 
  (iii) </t>
    </r>
    <r>
      <rPr>
        <sz val="11"/>
        <color rgb="FFC00000"/>
        <rFont val="Calibri"/>
        <family val="2"/>
        <scheme val="minor"/>
      </rPr>
      <t>connectivity to and dependency on other information systems</t>
    </r>
    <r>
      <rPr>
        <sz val="11"/>
        <color theme="1"/>
        <rFont val="Calibri"/>
        <family val="2"/>
        <scheme val="minor"/>
      </rPr>
      <t xml:space="preserve">; and 
  (iv) </t>
    </r>
    <r>
      <rPr>
        <sz val="11"/>
        <color rgb="FFC00000"/>
        <rFont val="Calibri"/>
        <family val="2"/>
        <scheme val="minor"/>
      </rPr>
      <t>dependencies on common infrastructures or shared services</t>
    </r>
    <r>
      <rPr>
        <sz val="11"/>
        <color theme="1"/>
        <rFont val="Calibri"/>
        <family val="2"/>
        <scheme val="minor"/>
      </rPr>
      <t xml:space="preserve">. </t>
    </r>
    <r>
      <rPr>
        <b/>
        <sz val="11"/>
        <color rgb="FF0070C0"/>
        <rFont val="Calibri"/>
        <family val="2"/>
        <scheme val="minor"/>
      </rPr>
      <t xml:space="preserve">
         Such information is found in system documentation, contingency plans, and risk assessment reports for other information systems, infrastructures, and services.</t>
    </r>
  </si>
  <si>
    <r>
      <rPr>
        <b/>
        <u/>
        <sz val="11"/>
        <color rgb="FFC00000"/>
        <rFont val="Calibri"/>
        <family val="2"/>
        <scheme val="minor"/>
      </rPr>
      <t>Sources of information</t>
    </r>
    <r>
      <rPr>
        <sz val="11"/>
        <color theme="1"/>
        <rFont val="Calibri"/>
        <family val="2"/>
        <scheme val="minor"/>
      </rPr>
      <t xml:space="preserve"> as described in </t>
    </r>
    <r>
      <rPr>
        <b/>
        <sz val="11"/>
        <color rgb="FFC00000"/>
        <rFont val="Calibri"/>
        <family val="2"/>
        <scheme val="minor"/>
      </rPr>
      <t xml:space="preserve">Tables D-1, E-1, F-1, H-1, and I-1 </t>
    </r>
    <r>
      <rPr>
        <sz val="11"/>
        <color theme="1"/>
        <rFont val="Calibri"/>
        <family val="2"/>
        <scheme val="minor"/>
      </rPr>
      <t>can be either internal or external to organizations. Internal sources of information that can provide insights into both threats and vulnerabilities can include, for example, risk assessment reports, incident reports, security logs, trouble tickets, and monitoring results</t>
    </r>
  </si>
  <si>
    <t>TASK 2-3:</t>
  </si>
  <si>
    <t>IDENTIFY VULNERABILITIES AND PREDISPOSING CONDITIONS</t>
  </si>
  <si>
    <t>Identify vulnerabilities and predisposing conditions that affect the likelihood that threat events of concern result in adverse impacts</t>
  </si>
  <si>
    <t>Tier 3:</t>
  </si>
  <si>
    <t>Vulnerabilities at Tier 3 can be described in terms of the information technologies employed within organizational information systems, the environments in which those systems operate, and/or the lack of or weaknesses in system-specific security controls. There is potentially a many-to-many relationship between threat events and vulnerabilities. Multiple threat events can exploit a single vulnerability, and conversely, multiple vulnerabilities can be exploited by a single threat event. The severity of a vulnerability is an assessment of the relative importance of mitigating such a vulnerability. Initially, the extent to which mitigation is unplanned can serve as a surrogate for vulnerability severity. Once the risks associated with a particular vulnerability have been assessed, the impact severity and exposure of the vulnerability given the security controls implemented and other vulnerabilities can be taken into consideration in assessing vulnerability severity. Assessments of vulnerability severity support risk response. Vulnerabilities can be identified at varying degrees of granularity and specificity. The level of detail provided in any particular vulnerability assessment is consistent with the purpose of the risk assessment and the type of inputs needed to support follow-on likelihood and impact determinations.</t>
  </si>
  <si>
    <t>Table G-6 (Per NIST Input on Youtube: https://www.youtube.com/watch?v=XeNJ44TgyEM )</t>
  </si>
  <si>
    <t>Table G-2:</t>
  </si>
  <si>
    <t>Table G-3:</t>
  </si>
  <si>
    <t>Table G-4:</t>
  </si>
  <si>
    <t>Table G-5:</t>
  </si>
  <si>
    <t>Likelihood of Event Initiation (Adversarial):</t>
  </si>
  <si>
    <t>Likelihood of Event Occurrence (Non-Adversarial):</t>
  </si>
  <si>
    <t>Likelihood of Event Resulting in Adverse Impacts:</t>
  </si>
  <si>
    <t>Overall Likelihood:</t>
  </si>
  <si>
    <t>Qualitative</t>
  </si>
  <si>
    <t>Moderate</t>
  </si>
  <si>
    <t>High</t>
  </si>
  <si>
    <t>…</t>
  </si>
  <si>
    <t>Table H-4 (Adversarial)</t>
  </si>
  <si>
    <t>Table -H-2:</t>
  </si>
  <si>
    <t>Table H-3:</t>
  </si>
  <si>
    <t>Type of Impact</t>
  </si>
  <si>
    <t>Impact Affected Asset</t>
  </si>
  <si>
    <t>Maximum Impact</t>
  </si>
  <si>
    <t xml:space="preserve">HARM TO ASSETS </t>
  </si>
  <si>
    <t>Loss of intellectual property.</t>
  </si>
  <si>
    <t>Damage to or loss of information systems or networks.</t>
  </si>
  <si>
    <t>Table I-5: Advisarial Risk</t>
  </si>
  <si>
    <t>Table E-2,5</t>
  </si>
  <si>
    <t>Table D-2,7</t>
  </si>
  <si>
    <t>Table D-3,7</t>
  </si>
  <si>
    <t>Table D-4,7</t>
  </si>
  <si>
    <t>Table D-5,7</t>
  </si>
  <si>
    <t>Table E-4,5</t>
  </si>
  <si>
    <t>Table G-2</t>
  </si>
  <si>
    <t>Table F-3,4,6</t>
  </si>
  <si>
    <t>Table F-2,5,6</t>
  </si>
  <si>
    <t>Table G-4</t>
  </si>
  <si>
    <t>Table H-2,3,4</t>
  </si>
  <si>
    <t>Table I-2,3</t>
  </si>
  <si>
    <t>Threat Event</t>
  </si>
  <si>
    <t>Threat Sources</t>
  </si>
  <si>
    <t>Threat Source
Characteristics</t>
  </si>
  <si>
    <t>Relevance</t>
  </si>
  <si>
    <t>Likelihood of
Attack Initiation</t>
  </si>
  <si>
    <t>Vulnerabilities and Predisposing Conditions</t>
  </si>
  <si>
    <t>Severity and
Pervasiveness</t>
  </si>
  <si>
    <t>Likelihood Initiated Attack Succeeds</t>
  </si>
  <si>
    <t>Overall Likelihood</t>
  </si>
  <si>
    <t>Level of Impact</t>
  </si>
  <si>
    <t>Risk</t>
  </si>
  <si>
    <t>Capability</t>
  </si>
  <si>
    <t>Intent</t>
  </si>
  <si>
    <t>Targeting</t>
  </si>
  <si>
    <t>Preliminary Draft Model</t>
  </si>
  <si>
    <t>Table I-7: Non-Advisarial Risk</t>
  </si>
  <si>
    <t>Table E-3,5</t>
  </si>
  <si>
    <t>Table D-2,8</t>
  </si>
  <si>
    <t>Table D-6</t>
  </si>
  <si>
    <t>Table G-3</t>
  </si>
  <si>
    <t>Table G-5</t>
  </si>
  <si>
    <t>Range of Effects</t>
  </si>
  <si>
    <t>Likelihood of Event Occurring</t>
  </si>
  <si>
    <t>Severity and Pervasivenes</t>
  </si>
  <si>
    <t>Likelihood Event Results in Adverse Impact</t>
  </si>
  <si>
    <t>.</t>
  </si>
  <si>
    <t>Table D-2 Taxonomy of Threat Sources</t>
  </si>
  <si>
    <t>Qualitative Values</t>
  </si>
  <si>
    <t>Semi-Quantitative Values</t>
  </si>
  <si>
    <t>TABLE E-2: REPRESENTATIVE EXAMPLES – ADVERSARIAL THREAT EVENTS</t>
  </si>
  <si>
    <t>TABLE E-4: RELEVANCE OF THREAT EVENTS</t>
  </si>
  <si>
    <t>TABLE G-2: ASSESSMENT SCALE – LIKELIHOOD OF THREAT EVENT INITIATION (ADVERSARIAL)</t>
  </si>
  <si>
    <t>TABLE G-5: ASSESSMENT SCALE – OVERALL LIKELIHOOD</t>
  </si>
  <si>
    <t>TABLE H-2: EXAMPLES OF ADVERSE IMPACTS</t>
  </si>
  <si>
    <t>TABLE H-3: ASSESSMENT SCALE – IMPACT OF THREAT EVENTS</t>
  </si>
  <si>
    <t>TABLE I-2: ASSESSMENT SCALE – LEVEL OF RISK (COMBINATION OF LIKELIHOOD AND IMPACT)</t>
  </si>
  <si>
    <t>TABLE I-3: ASSESSMENT SCALE – LEVEL OF RISK</t>
  </si>
  <si>
    <t>TABLE I-4: COLUMN DESCRIPTIONS FOR ADVERSARIAL RISK TABLE</t>
  </si>
  <si>
    <t>TABLE I-6: COLUMN DESCRIPTIONS FOR NON-ADVERSARIAL RISK TABLE</t>
  </si>
  <si>
    <t>Type of Thrat Source</t>
  </si>
  <si>
    <t>Description</t>
  </si>
  <si>
    <t>Characteristic</t>
  </si>
  <si>
    <t>Adversarial - Individual - Outsider</t>
  </si>
  <si>
    <t>Individuals, groups, organizations, or states that seek to exploit the organization’s dependence on cyber resources (i.e., information in electronic form, information and communications technologies, and the communications and information-handling capabilities provided by those technologies).</t>
  </si>
  <si>
    <t>Capability, Intent, Targeting</t>
  </si>
  <si>
    <t>Grouping</t>
  </si>
  <si>
    <t>Threat Events (Characterized by TTPs)</t>
  </si>
  <si>
    <t>Value</t>
  </si>
  <si>
    <t>Semi-Qualitative Values</t>
  </si>
  <si>
    <t>Likelihood of Threat Event / Occurrence</t>
  </si>
  <si>
    <t>Likelihood Treat Events Result in Adverse Impacts</t>
  </si>
  <si>
    <t>Impact</t>
  </si>
  <si>
    <t xml:space="preserve">Semi-Quantitative Values
</t>
  </si>
  <si>
    <t>Column</t>
  </si>
  <si>
    <t>Heading</t>
  </si>
  <si>
    <t>Content</t>
  </si>
  <si>
    <t>Adversarial- Individual - Insider</t>
  </si>
  <si>
    <t>Perform reconnaissance and gather information</t>
  </si>
  <si>
    <t>Perform perimeter network reconnaissance/scanning.</t>
  </si>
  <si>
    <t>Adversary uses commercial or free software to scan organizational perimeters to obtain a better understanding of the information technology infrastructure and improve the ability to launch successful attacks.</t>
  </si>
  <si>
    <t>Confirmed</t>
  </si>
  <si>
    <t>The threat event or TTP has been seen by the organization.</t>
  </si>
  <si>
    <t>Range</t>
  </si>
  <si>
    <t>Very Low</t>
  </si>
  <si>
    <t>HARM TO OPERATIONS</t>
  </si>
  <si>
    <t>Inability to perform current missions/business functions</t>
  </si>
  <si>
    <t>In a sufficiently timely manner</t>
  </si>
  <si>
    <r>
      <t xml:space="preserve">The threat event could be expected to have </t>
    </r>
    <r>
      <rPr>
        <b/>
        <sz val="11"/>
        <color theme="1"/>
        <rFont val="Calibri"/>
        <family val="2"/>
        <scheme val="minor"/>
      </rPr>
      <t xml:space="preserve">multiple severe or catastrophic </t>
    </r>
    <r>
      <rPr>
        <sz val="11"/>
        <color theme="1"/>
        <rFont val="Calibri"/>
        <family val="2"/>
        <scheme val="minor"/>
      </rPr>
      <t>adverse effects on organizational operations, organizational assets, individuals, other organizations, or the Nation</t>
    </r>
  </si>
  <si>
    <t xml:space="preserve">Very high risk means that a catastrophic adverse effects other organizations, or the Nat threat event could be expected to have multiple severe or on organizational operations, organizational assets, individuals, other organizations, or the Nation.
</t>
  </si>
  <si>
    <t>Identify threat event. (Task 2-2; Table E-1; Table E-2; Table E-5; Table I-5.)</t>
  </si>
  <si>
    <r>
      <t xml:space="preserve">Identify threat event. (Task 2-2; Table E-1; </t>
    </r>
    <r>
      <rPr>
        <b/>
        <sz val="11"/>
        <color theme="1"/>
        <rFont val="Calibri"/>
        <family val="2"/>
        <scheme val="minor"/>
      </rPr>
      <t>Table E-3; Table E-5; Table I-7</t>
    </r>
    <r>
      <rPr>
        <sz val="11"/>
        <color theme="1"/>
        <rFont val="Calibri"/>
        <family val="2"/>
        <scheme val="minor"/>
      </rPr>
      <t>.)</t>
    </r>
  </si>
  <si>
    <t>Adversarial- Individual - Trusted Insider</t>
  </si>
  <si>
    <t>Perform network sniffing of exposed networks.</t>
  </si>
  <si>
    <t>Adversary with access to exposed wired or wireless data channels used to transmit information, uses network sniffing to identify components, resources, and protections</t>
  </si>
  <si>
    <t>Expected</t>
  </si>
  <si>
    <t>The threat event or TTP has been seen by the organization’s peers or partners.</t>
  </si>
  <si>
    <t xml:space="preserve">Adversary is almost certain to initiate the threat event.
</t>
  </si>
  <si>
    <t>With sufficient confidence and/or correctness.</t>
  </si>
  <si>
    <t xml:space="preserve">High (FIPS 199)
</t>
  </si>
  <si>
    <t>The threat event could be expected to have a severe or catastrophic adverse effect on organizational operations, organizational assets, individuals, other organizations, or the Nation. A severe or catastrophic adverse effect means that, for example, the threat event might: (i) cause a severe degradation in or loss of mission capability to an extent and duration that the organization is not able to perform one or more of its primary functions; (ii) result in major damage to  organizational assets; (iii) result in major financial loss; or (iv) result in severe or catastrophic harm to individuals involving loss of life or serious life-threatening injuries</t>
  </si>
  <si>
    <t>High risk means that a threat event could be expected to have a severe or catastrophic adverse effect on organizational operations, organizational assets, individuals, other organizations, or the Nation.</t>
  </si>
  <si>
    <t xml:space="preserve">Identify threat sources that could initiate the threat event. (Task 2-1; Table D-1; Table D-2;
Table D-7; Table I-5.)
</t>
  </si>
  <si>
    <r>
      <t xml:space="preserve">Identify threat sources that could initiate the threat event. (Task 2-1; Table D-1; </t>
    </r>
    <r>
      <rPr>
        <b/>
        <sz val="11"/>
        <color theme="1"/>
        <rFont val="Calibri"/>
        <family val="2"/>
        <scheme val="minor"/>
      </rPr>
      <t>Table D-2; Table D-8; Table I-7</t>
    </r>
    <r>
      <rPr>
        <sz val="11"/>
        <color theme="1"/>
        <rFont val="Calibri"/>
        <family val="2"/>
        <scheme val="minor"/>
      </rPr>
      <t>.)</t>
    </r>
  </si>
  <si>
    <t>Adversarial- Individual - Privileged Insider</t>
  </si>
  <si>
    <t>Gather information using open source discovery of organizational information.</t>
  </si>
  <si>
    <t>Adversary mines publically accessible information to gather information about organizational information systems, business processes, users or personnel, or external relationships that the adversary can subsequently employ in support of an attack.</t>
  </si>
  <si>
    <t>Anticipated</t>
  </si>
  <si>
    <t>The threat event or TTP has been reported by a trusted source.</t>
  </si>
  <si>
    <t xml:space="preserve">Adversary is highly likely to initiate the threat event.
</t>
  </si>
  <si>
    <t>Within planned resource constraints</t>
  </si>
  <si>
    <t>Moderate (FIPS 199)</t>
  </si>
  <si>
    <t>The threat event could be expected to have a serious adverse effect on organizational operations, organizational assets, individuals other organizations, or the Nation. A serious adverse effect means that, for example, the threat event might: (i) cause a significant degradation in mission capability to an extent and duration that the organization is able to perform its primary functions,  but the effectiveness of the functions is significantly reduced; (ii) result in significant damage to organizational assets; (iii) result in significant financial loss; or (iv) result in significant harm to individuals that does not involve loss of life or serious life-threatening injuries.</t>
  </si>
  <si>
    <t>Moderate risk means that a threat event could be expected to have a serious adverse effect on organizational operations, organizational assets, individuals, other organizations, or the Nation.</t>
  </si>
  <si>
    <r>
      <rPr>
        <sz val="11"/>
        <color theme="1"/>
        <rFont val="Calibri"/>
        <family val="2"/>
        <scheme val="minor"/>
      </rPr>
      <t>  Assess threat source capability. (Task 2-1; Table D-3; Table D-7; Table I-5.)</t>
    </r>
  </si>
  <si>
    <r>
      <t xml:space="preserve">Identify the range of effects from the threat source. (Task 2-1; Table D-1; </t>
    </r>
    <r>
      <rPr>
        <b/>
        <sz val="11"/>
        <color theme="1"/>
        <rFont val="Calibri"/>
        <family val="2"/>
        <scheme val="minor"/>
      </rPr>
      <t>Table D-6; Table I-7</t>
    </r>
    <r>
      <rPr>
        <sz val="11"/>
        <color theme="1"/>
        <rFont val="Calibri"/>
        <family val="2"/>
        <scheme val="minor"/>
      </rPr>
      <t>.)</t>
    </r>
  </si>
  <si>
    <t>Adversarial - Group - Ad Hoc</t>
  </si>
  <si>
    <t>Perform reconnaissance and surveillance of targeted organizations.</t>
  </si>
  <si>
    <t>Adversary uses various means (e.g., scanning, physical observation) over time to examine and assess organizations and ascertain points of vulnerability.</t>
  </si>
  <si>
    <t>Predicted</t>
  </si>
  <si>
    <t>The threat event or TTP has been predicted by a trusted source.</t>
  </si>
  <si>
    <t xml:space="preserve">Adversary is somewhat likely to initiate the treat event.
</t>
  </si>
  <si>
    <t>Inability, or limited ability, to perform missions/business functions in the future</t>
  </si>
  <si>
    <t>Inability to restore missions/business functions</t>
  </si>
  <si>
    <t>Low (FIPS 199)</t>
  </si>
  <si>
    <r>
      <t xml:space="preserve">The threat event could be expected to have a </t>
    </r>
    <r>
      <rPr>
        <b/>
        <sz val="11"/>
        <color theme="1"/>
        <rFont val="Calibri"/>
        <family val="2"/>
        <scheme val="minor"/>
      </rPr>
      <t xml:space="preserve">limited </t>
    </r>
    <r>
      <rPr>
        <sz val="11"/>
        <color theme="1"/>
        <rFont val="Calibri"/>
        <family val="2"/>
        <scheme val="minor"/>
      </rPr>
      <t>adverse effect on organizational operations, organizational assets, individuals other organizations, or the Nation. A limited adverse effect means that, for example, the threat event might: (i) cause a degradation in mission capability to an extent and duration that the organization is able to perform its primary functions, but the effectiveness     of the functions is noticeably reduced; (ii) result in minor damage to organizational assets;            (iii) result in minor financial loss; or (iv) result in minor harm to individuals.</t>
    </r>
  </si>
  <si>
    <t>Low risk means that a threat event could be expected to have a limited adverse effect on organizational operations, organizational assets, individuals, other organizations, or the Nation.</t>
  </si>
  <si>
    <t>Assess threat source intent. (Task 2-1; Table D-4; Table D-7; Table I-5.)</t>
  </si>
  <si>
    <r>
      <t xml:space="preserve">Determine relevance of threat event. (Task 2-2; Table E-1; </t>
    </r>
    <r>
      <rPr>
        <b/>
        <sz val="11"/>
        <color theme="1"/>
        <rFont val="Calibri"/>
        <family val="2"/>
        <scheme val="minor"/>
      </rPr>
      <t>Table E-4; Table E-5; Table I-7</t>
    </r>
    <r>
      <rPr>
        <sz val="11"/>
        <color theme="1"/>
        <rFont val="Calibri"/>
        <family val="2"/>
        <scheme val="minor"/>
      </rPr>
      <t>.) If the relevance of the threat event does not meet the organization’s criteria for further consideration, do not complete the remaining columns.</t>
    </r>
  </si>
  <si>
    <t>Adversarial - Group - Established</t>
  </si>
  <si>
    <t>Perform malware-directed internal reconnaissance.</t>
  </si>
  <si>
    <t>Adversary uses malware installed inside the organizational perimeter to identify targets of opportunity. Because the scanning, probing, or observation does not cross the perimeter, it is not detected by externally placed intrusion detection systems.</t>
  </si>
  <si>
    <t>Possible</t>
  </si>
  <si>
    <t>The threat event or TTP has been described by a somewhat credible source.</t>
  </si>
  <si>
    <t>Adversary is unlikely to initiate the threat event.</t>
  </si>
  <si>
    <t>The threat event could be expected to have a negligible adverse effect on organizational operations, organizational assets, individuals other organizations, or the Nation.</t>
  </si>
  <si>
    <t>Very low risk means that a threat event could be expected to have a negligible adverse effect on organizational operations, organizational assets, individuals, other organizations, or the Nation.</t>
  </si>
  <si>
    <t>Assess threat source targeting. (Task 2-1; Table D-5; Table D-7; Table I-5.)</t>
  </si>
  <si>
    <t>Likelihood of Threat Event Occurring</t>
  </si>
  <si>
    <t>Determine the likelihood that the threat event will occur. (Task 2-4; Table G-1; Table G-3; Table I-7.)</t>
  </si>
  <si>
    <t xml:space="preserve">Adversarial - Organization - Competitor </t>
  </si>
  <si>
    <t>Craft or create attack tools.</t>
  </si>
  <si>
    <t>Craft phishing attacks.</t>
  </si>
  <si>
    <t>Adversary counterfeits communications from a legitimate/trustworthy source to acquire sensitive information such as usernames, passwords, or SSNs. Typical attacks occur via email, instant messaging, or comparable means; commonly directing users to websites that appear to be legitimate sites, while actually stealing the entered information</t>
  </si>
  <si>
    <t>N/A</t>
  </si>
  <si>
    <t>The threat event or TTP is not currently applicable. For example, a threat event or TTP could assume specific technologies, architectures, or processes that are not present in the organization, mission/business process, EA segment, or information system; or predisposing conditions that are not present (e.g., location in a flood plain). Alternately, if the organization is using detailed or specific threat information, a threat event or TTP could be deemed inapplicable because information indicates that no adversary is expected to initiate the threat event or use the TTP.</t>
  </si>
  <si>
    <t xml:space="preserve">Adversary is highly unlikely to initiate the threat event.
</t>
  </si>
  <si>
    <t>With sufficient confidence and/or correctness</t>
  </si>
  <si>
    <t xml:space="preserve">Determine relevance of threat event. (Task 2-2; Table E-1; Table E-4; Table E-5; Table I-5.)
If the relevance of the threat event does not meet the organization’s criteria for further consideration, do not complete the remaining columns.
</t>
  </si>
  <si>
    <r>
      <t xml:space="preserve">Identify vulnerabilities which could be exploited by threat sources initiating the threat event and the predisposing conditions which could increase the likelihood of adverse impacts. (Task 2-5; Table F-1; </t>
    </r>
    <r>
      <rPr>
        <b/>
        <sz val="11"/>
        <color theme="1"/>
        <rFont val="Calibri"/>
        <family val="2"/>
        <scheme val="minor"/>
      </rPr>
      <t>Table F-3; Table F-4; Table F-6; Table I-7</t>
    </r>
    <r>
      <rPr>
        <sz val="11"/>
        <color theme="1"/>
        <rFont val="Calibri"/>
        <family val="2"/>
        <scheme val="minor"/>
      </rPr>
      <t>.)</t>
    </r>
  </si>
  <si>
    <t>Adversarial - Organization - Supplier</t>
  </si>
  <si>
    <t>Craft spear phishing attacks.</t>
  </si>
  <si>
    <t>Adversary employs phishing attacks targeted at high value targets (e.g., senior leaders/executives).</t>
  </si>
  <si>
    <t>Likelihood of Attack Initiation</t>
  </si>
  <si>
    <t>Determine likelihood that one or more of the threat sources initiates the threat event, taking into consideration capability, intent, and targeting. (Task 2-4; Table G-1; Table G-2; Table I-5.)</t>
  </si>
  <si>
    <t>Severity Pervasiveness</t>
  </si>
  <si>
    <r>
      <t>Assess severity of vulnerabilities and pervasiveness of predisposing conditions. (</t>
    </r>
    <r>
      <rPr>
        <b/>
        <sz val="11"/>
        <color theme="1"/>
        <rFont val="Calibri"/>
        <family val="2"/>
        <scheme val="minor"/>
      </rPr>
      <t>Task 2-5</t>
    </r>
    <r>
      <rPr>
        <sz val="11"/>
        <color theme="1"/>
        <rFont val="Calibri"/>
        <family val="2"/>
        <scheme val="minor"/>
      </rPr>
      <t xml:space="preserve">; </t>
    </r>
    <r>
      <rPr>
        <b/>
        <sz val="11"/>
        <color theme="1"/>
        <rFont val="Calibri"/>
        <family val="2"/>
        <scheme val="minor"/>
      </rPr>
      <t>Table F-1</t>
    </r>
    <r>
      <rPr>
        <sz val="11"/>
        <color theme="1"/>
        <rFont val="Calibri"/>
        <family val="2"/>
        <scheme val="minor"/>
      </rPr>
      <t xml:space="preserve">; </t>
    </r>
    <r>
      <rPr>
        <b/>
        <sz val="11"/>
        <color theme="1"/>
        <rFont val="Calibri"/>
        <family val="2"/>
        <scheme val="minor"/>
      </rPr>
      <t>Table F-2</t>
    </r>
    <r>
      <rPr>
        <sz val="11"/>
        <color theme="1"/>
        <rFont val="Calibri"/>
        <family val="2"/>
        <scheme val="minor"/>
      </rPr>
      <t xml:space="preserve">; </t>
    </r>
    <r>
      <rPr>
        <b/>
        <sz val="11"/>
        <color theme="1"/>
        <rFont val="Calibri"/>
        <family val="2"/>
        <scheme val="minor"/>
      </rPr>
      <t>Table F-5</t>
    </r>
    <r>
      <rPr>
        <sz val="11"/>
        <color theme="1"/>
        <rFont val="Calibri"/>
        <family val="2"/>
        <scheme val="minor"/>
      </rPr>
      <t xml:space="preserve">; </t>
    </r>
    <r>
      <rPr>
        <b/>
        <sz val="11"/>
        <color theme="1"/>
        <rFont val="Calibri"/>
        <family val="2"/>
        <scheme val="minor"/>
      </rPr>
      <t>Table F-6</t>
    </r>
    <r>
      <rPr>
        <sz val="11"/>
        <color theme="1"/>
        <rFont val="Calibri"/>
        <family val="2"/>
        <scheme val="minor"/>
      </rPr>
      <t xml:space="preserve">; </t>
    </r>
    <r>
      <rPr>
        <b/>
        <sz val="11"/>
        <color theme="1"/>
        <rFont val="Calibri"/>
        <family val="2"/>
        <scheme val="minor"/>
      </rPr>
      <t>Table I-5</t>
    </r>
    <r>
      <rPr>
        <sz val="11"/>
        <color theme="1"/>
        <rFont val="Calibri"/>
        <family val="2"/>
        <scheme val="minor"/>
      </rPr>
      <t>.)</t>
    </r>
  </si>
  <si>
    <t xml:space="preserve">Adversarial - Organization - Partner </t>
  </si>
  <si>
    <t>Craft attacks specifically based on deployed information technology environment.</t>
  </si>
  <si>
    <t>Adversary develops attacks (e.g., crafts targeted malware) that take advantage of adversary knowledge of the organizational information technology environment.</t>
  </si>
  <si>
    <t>Harms (e.g., financial costs, sanctions) due to noncompliance</t>
  </si>
  <si>
    <t>With applicable laws or regulations</t>
  </si>
  <si>
    <t>Identify vulnerabilities which could be exploited by threat sources initiating the threat event and the predisposing conditions which could increase the likelihood of adverse impacts. (Task 2-5; Table F-1; Table F-3; Table F-4; Table F-6; Table I-5.)</t>
  </si>
  <si>
    <t>Likelihood Threat Event Results in Adverse Impact</t>
  </si>
  <si>
    <r>
      <t>Determine the likelihood that the threat event, once initiated, will result in adverse impact, taking into consideration vulnerabilities and predisposing conditions. (</t>
    </r>
    <r>
      <rPr>
        <b/>
        <sz val="11"/>
        <color theme="1"/>
        <rFont val="Calibri"/>
        <family val="2"/>
        <scheme val="minor"/>
      </rPr>
      <t>Task 2-4</t>
    </r>
    <r>
      <rPr>
        <sz val="11"/>
        <color theme="1"/>
        <rFont val="Calibri"/>
        <family val="2"/>
        <scheme val="minor"/>
      </rPr>
      <t xml:space="preserve">; </t>
    </r>
    <r>
      <rPr>
        <b/>
        <sz val="11"/>
        <color theme="1"/>
        <rFont val="Calibri"/>
        <family val="2"/>
        <scheme val="minor"/>
      </rPr>
      <t>Table G-1</t>
    </r>
    <r>
      <rPr>
        <sz val="11"/>
        <color theme="1"/>
        <rFont val="Calibri"/>
        <family val="2"/>
        <scheme val="minor"/>
      </rPr>
      <t xml:space="preserve">; </t>
    </r>
    <r>
      <rPr>
        <b/>
        <sz val="11"/>
        <color theme="1"/>
        <rFont val="Calibri"/>
        <family val="2"/>
        <scheme val="minor"/>
      </rPr>
      <t>Table G-4</t>
    </r>
    <r>
      <rPr>
        <sz val="11"/>
        <color theme="1"/>
        <rFont val="Calibri"/>
        <family val="2"/>
        <scheme val="minor"/>
      </rPr>
      <t xml:space="preserve">; </t>
    </r>
    <r>
      <rPr>
        <b/>
        <sz val="11"/>
        <color theme="1"/>
        <rFont val="Calibri"/>
        <family val="2"/>
        <scheme val="minor"/>
      </rPr>
      <t>Table I-7</t>
    </r>
    <r>
      <rPr>
        <sz val="11"/>
        <color theme="1"/>
        <rFont val="Calibri"/>
        <family val="2"/>
        <scheme val="minor"/>
      </rPr>
      <t>.)</t>
    </r>
  </si>
  <si>
    <t xml:space="preserve">Adversarial - Organization - Customer </t>
  </si>
  <si>
    <t>Create counterfeit/spoof website.</t>
  </si>
  <si>
    <t>Adversary creates duplicates of legitimate websites; when users visit a counterfeit site, the site can gather information or download malware.</t>
  </si>
  <si>
    <t>TABLE F-2: ASSESSMENT SCALE – VULNERABILITY SEVERITY</t>
  </si>
  <si>
    <t>TABLE G-3: ASSESSMENT SCALE – LIKELIHOOD OF THREAT EVENT OCCURRENCE (NON-ADVERSARIAL)</t>
  </si>
  <si>
    <t>With contractual requirements or other requirements in other binding agreements (e.g., liability)</t>
  </si>
  <si>
    <t>Assess severity of vulnerabilities and pervasiveness of predisposing conditions. (Task 2-5; Table F-1; Table F-2; Table F-5; Table F-6; Table I-5.)</t>
  </si>
  <si>
    <r>
      <t xml:space="preserve">Determine the likelihood that the threat event will occur and result in adverse impacts (i.e., combination of likelihood of threat occurring and likelihood that the threat event results in adverse impact). (Task 2-4; Table G-1; </t>
    </r>
    <r>
      <rPr>
        <b/>
        <sz val="11"/>
        <color theme="1"/>
        <rFont val="Calibri"/>
        <family val="2"/>
        <scheme val="minor"/>
      </rPr>
      <t>Table G-5; Table I-7</t>
    </r>
    <r>
      <rPr>
        <sz val="11"/>
        <color theme="1"/>
        <rFont val="Calibri"/>
        <family val="2"/>
        <scheme val="minor"/>
      </rPr>
      <t>.)</t>
    </r>
  </si>
  <si>
    <t>Adversarial - Nation-State</t>
  </si>
  <si>
    <t>Craft counterfeit certificates.</t>
  </si>
  <si>
    <t>Adversary counterfeits or compromises a certificate authority, so that malware or connections will appear legitimate.</t>
  </si>
  <si>
    <t>Direct financial costs</t>
  </si>
  <si>
    <t>Determine the likelihood that the threat event, once initiated, will result in adverse impact, taking into consideration threat source capability, vulnerabilities, and predisposing conditions. (Task 2-4; Table G-1; Table G-4; Table I-5.)</t>
  </si>
  <si>
    <r>
      <t xml:space="preserve">Determine the adverse impact (i.e., potential harm to organizational operations, organizational assets, individuals, other organizations, or the Nation) from the threat event. (Task 2-5; Table H- 1, </t>
    </r>
    <r>
      <rPr>
        <b/>
        <sz val="11"/>
        <color theme="1"/>
        <rFont val="Calibri"/>
        <family val="2"/>
        <scheme val="minor"/>
      </rPr>
      <t>Table H-2; Table H-3; Table H-4; Table I-7</t>
    </r>
    <r>
      <rPr>
        <sz val="11"/>
        <color theme="1"/>
        <rFont val="Calibri"/>
        <family val="2"/>
        <scheme val="minor"/>
      </rPr>
      <t>.)</t>
    </r>
  </si>
  <si>
    <t>Accidental - User</t>
  </si>
  <si>
    <t>Erroneous actions taken by individuals in the course of executing their everyday responsibilities.</t>
  </si>
  <si>
    <t>Range of effects</t>
  </si>
  <si>
    <t>Create and operate false front organizations to inject malicious components into the supply chain.</t>
  </si>
  <si>
    <t>Adversary creates false front organizations with the appearance of legitimate suppliers in the critical life-cycle path that then inject corrupted/malicious information system components into the organizational supply chain.</t>
  </si>
  <si>
    <t>Relational harms</t>
  </si>
  <si>
    <t>Damage to trust relationships</t>
  </si>
  <si>
    <t xml:space="preserve">Determine the likelihood that the threat event will be initiated and result in adverse impact (i.e.,
combination of likelihood of attack initiation and likelihood that initiated attack succeeds). (Task 2-4; Table G-1; Table G-5; Table I-5.)
</t>
  </si>
  <si>
    <r>
      <t xml:space="preserve">Determine the level of risk as a combination of likelihood and impact. (Task 2-6; Table I-1; </t>
    </r>
    <r>
      <rPr>
        <b/>
        <sz val="11"/>
        <color theme="1"/>
        <rFont val="Calibri"/>
        <family val="2"/>
        <scheme val="minor"/>
      </rPr>
      <t>Table I-2; Table I-3; Table I-7</t>
    </r>
    <r>
      <rPr>
        <sz val="11"/>
        <color theme="1"/>
        <rFont val="Calibri"/>
        <family val="2"/>
        <scheme val="minor"/>
      </rPr>
      <t>.)</t>
    </r>
  </si>
  <si>
    <t>Damage to image or reputation (and hence future or potential trust relationships)</t>
  </si>
  <si>
    <t xml:space="preserve">Determine the adverse impact (i.e., potential harm to organizational operations, organizational
assets, individuals, other organizations, or the Nation) from the threat event. (Task 2-5; Table H-1, Table H-2; Table H-3; Table H-4; Table I-5.)
</t>
  </si>
  <si>
    <t>Accidental - Privileged User/Administrator</t>
  </si>
  <si>
    <t>Deliver/insert/install malicious capabilities.</t>
  </si>
  <si>
    <t>Deliver known malware to internal organizational information systems (e.g., virus via email).</t>
  </si>
  <si>
    <t>Adversary uses common delivery mechanisms (e.g., email) to install/insert known malware (e. g., malware whose existence is known) into organizational information systems.</t>
  </si>
  <si>
    <t xml:space="preserve">The vulnerability is exposed and exploitable, and its exploitation could result in severe impacts.
Relevant security control or other remediation is not implemented and not planned; or no security measure can be identified to remediate the vulnerability.
</t>
  </si>
  <si>
    <t xml:space="preserve">Error, accident, or act of nature is almost certain to occur; or occurs more than 100 times a year
</t>
  </si>
  <si>
    <t>HARM TO ASSETS</t>
  </si>
  <si>
    <t>Damage to or loss of physical facilities</t>
  </si>
  <si>
    <t>Determine the level of risk as a combination of likelihood and impact. (Task 2-6; Table I-1; Table I-2; Table I-3; Table I-5.)</t>
  </si>
  <si>
    <t>Structural - Informational (IT) Equipment</t>
  </si>
  <si>
    <t>Failures of equipment, environmental controls, or software due to aging, resource depletion, or other circumstances which exceed expected operating parameters.</t>
  </si>
  <si>
    <t>Deliver modified malware to internal organizational information systems.</t>
  </si>
  <si>
    <t>Adversary uses more sophisticated delivery mechanisms than email (e.g., web traffic, instant messaging, FTP) to deliver malware and possibly modifications of known malware to gain access to internal organizational information systems.</t>
  </si>
  <si>
    <t xml:space="preserve">The vulnerability is of high concern, based on the exposure of the vulnerability and ease of exploitation and/or on the severity of impacts that could result from its exploitation.
Relevant security control or other remediation is planned but not implemented; compensating controls are in place and at least minimally effective
</t>
  </si>
  <si>
    <t xml:space="preserve">Error, accident, or act of nature is highly likely to occur; or occurs between 10-100 times a year.
</t>
  </si>
  <si>
    <t>Damage to or loss of information systems or networks</t>
  </si>
  <si>
    <t>Structural - Storage</t>
  </si>
  <si>
    <t>Deliver targeted malware for control of internal systems and exfiltration of data.</t>
  </si>
  <si>
    <t>Adversary installs malware that is specifically designed to take control of internal organizational information systems, identify sensitive information, exfiltrate the information back to adversary, and conceal these actions.</t>
  </si>
  <si>
    <t xml:space="preserve">The vulnerability is of moderate concern, based on the exposure of the vulnerability and ease of exploitation and/or on the severity of impacts that could result from its exploitation. Relevant security control or other remediation is partially implemented and somewhat effective.
</t>
  </si>
  <si>
    <t xml:space="preserve">Error, accident, or act of nature is somewhat likely to occur; or occurs between 1-10 times a year.
</t>
  </si>
  <si>
    <t>Damage to or loss of information technology or equipment</t>
  </si>
  <si>
    <t>Structural - Processing</t>
  </si>
  <si>
    <t>Deliver malware by providing removable media.</t>
  </si>
  <si>
    <t>Adversary places removable media (e.g., flash drives) containing malware in locations external to organizational physical perimeters but where employees are likely to find the media (e.g., facilities parking lots, exhibits at conferences attended by employees) and use it on organizational information systems.</t>
  </si>
  <si>
    <t>The vulnerability is of minor concern, but effectiveness of remediation could be improved. Relevant security control or other remediation is fully implemented and somewhat effective.</t>
  </si>
  <si>
    <t>Error, accident, or act of nature is unlikely to occur; or occurs less than once a year, but more than once every 10 years.</t>
  </si>
  <si>
    <t>Damage to or loss of component parts or supplies</t>
  </si>
  <si>
    <t>Structural - Communications</t>
  </si>
  <si>
    <t>Insert untargeted malware into downloadable software and/or into commercial information technology products.</t>
  </si>
  <si>
    <t>Adversary corrupts or inserts malware into common freeware, shareware or commercial information technology products. Adversary is not targeting specific organizations, simply looking for entry points into internal organizational information systems. Note that this is particularly a concern for mobile applications.</t>
  </si>
  <si>
    <t xml:space="preserve">The vulnerability is not of concern.
Relevant security control or other remediation is fully implemented, assessed, and effective.
</t>
  </si>
  <si>
    <t xml:space="preserve">Error, accident, or act of nature is highly unlikely to occur; or occurs less than once every 10 years.
</t>
  </si>
  <si>
    <t>Damage to or of loss of information assets</t>
  </si>
  <si>
    <t>Structural - Display</t>
  </si>
  <si>
    <t>Insert targeted malware into organizational information systems and information system components</t>
  </si>
  <si>
    <t>Adversary inserts malware into organizational information systems and information system components (e.g., commercial information technology products), specifically targeted to the hardware, software, and firmware used by organizations (based on knowledge gained via reconnaissance).</t>
  </si>
  <si>
    <t>loss of intellectual property</t>
  </si>
  <si>
    <t>Structural - Sensor</t>
  </si>
  <si>
    <t>Insert specialized malware into organizational information systems based on system configurations.</t>
  </si>
  <si>
    <t>Adversary inserts specialized, non-detectable, malware into organizational information systems based on system configurations, specifically targeting critical information system components based on reconnaissance and placement within organizational information systems.</t>
  </si>
  <si>
    <t>HARM TO INDIVIDUALS</t>
  </si>
  <si>
    <t>Injury or loss of life</t>
  </si>
  <si>
    <t>Structural - Controller</t>
  </si>
  <si>
    <t>Insert counterfeit or tampered hardware into the supply chain.</t>
  </si>
  <si>
    <t>Adversary intercepts hardware from legitimate suppliers. Adversary modifies the hardware or replaces it with faulty or otherwise modified hardware.</t>
  </si>
  <si>
    <t>TABLE F-5: ASSESSMENT SCALE – PERVASIVENESS OF PREDISPOSING CONDITIONS</t>
  </si>
  <si>
    <t>TABLE G-4: ASSESSMENT SCALE – LIKELIHOOD OF THREAT EVENT RESULTING IN ADVERSE IMPACTS</t>
  </si>
  <si>
    <t>Physical or psychological mistreatment</t>
  </si>
  <si>
    <t>Structural - Environmental - Temperature/Humidity</t>
  </si>
  <si>
    <t>Insert tampered critical components into organizational systems.</t>
  </si>
  <si>
    <t>Adversary replaces, though supply chain, subverted insider, or some combination thereof, critical information system components with modified or corrupted components.</t>
  </si>
  <si>
    <t>Identity theft</t>
  </si>
  <si>
    <t>Structural - Power Supply</t>
  </si>
  <si>
    <t>Install general-purpose sniffers on organization- controlled information systems or networks.</t>
  </si>
  <si>
    <t>Adversary installs sniffing software onto internal organizational information systems or networks.</t>
  </si>
  <si>
    <t>Loss of Personally Identifiable Information</t>
  </si>
  <si>
    <t>Structural - Software - Operating System</t>
  </si>
  <si>
    <t>Install persistent and targeted sniffers on organizational information systems and networks.</t>
  </si>
  <si>
    <t>Adversary places within internal organizational information systems or networks software designed to (over a continuous period of time) collect (sniff) network traffic.</t>
  </si>
  <si>
    <t>Damage to image or reputation</t>
  </si>
  <si>
    <t>Structural - Software - Networking</t>
  </si>
  <si>
    <t>Insert malicious scanning devices (e.g., wireless sniffers) inside facilities.</t>
  </si>
  <si>
    <t>Adversary uses postal service or other commercial delivery services to deliver to organizational mailrooms a device that is able to scan wireless communications accessible from within the mailrooms and then wirelessly transmit information back to adversary.</t>
  </si>
  <si>
    <t xml:space="preserve">Applies to all organizational missions/business functions (Tier 1), mission/business processes (Tier 2), or information systems (Tier 3).
</t>
  </si>
  <si>
    <t xml:space="preserve">If the threat event is initiated or occurs, it is almost certain to have adverse impacts.
</t>
  </si>
  <si>
    <t>HARM TO OTHER ORGANIZATIONS</t>
  </si>
  <si>
    <t>Structural - Software - General Purpose Applications</t>
  </si>
  <si>
    <t>Insert subverted individuals into privileged positions in organizations.</t>
  </si>
  <si>
    <t>Adversary places individuals in privileged positions within organizations who are willing and able to carry out actions to cause harm to organizational missions/business functions. Adversary may target privileged functions to gain access to sensitive information (e.g., user accounts, system files, etc.) and may leverage access to one privileged capability to get to another capability.</t>
  </si>
  <si>
    <t xml:space="preserve">Applies to most organizational missions/business functions (Tier 1), mission/business processes (Tier 2), or information systems (Tier 3).
</t>
  </si>
  <si>
    <t xml:space="preserve">If the threat event is initiated or occurs, it is highly likely to have adverse impacts.
</t>
  </si>
  <si>
    <t>With contractual requirements or other requirements in other binding agreements</t>
  </si>
  <si>
    <t>Structural - Software - Mission Specific Applications</t>
  </si>
  <si>
    <t>Exploit and compromise.</t>
  </si>
  <si>
    <t>Exploit physical access of authorized staff to gain access to organizational facilities.</t>
  </si>
  <si>
    <t>Adversary follows (“tailgates”) authorized individuals into secure/controlled locations with the goal of gaining access to facilities, circumventing physical security checks.</t>
  </si>
  <si>
    <t xml:space="preserve">Applies to many organizational missions/business functions (Tier 1), mission/business processes (Tier 2), or information systems (Tier 3).
</t>
  </si>
  <si>
    <t xml:space="preserve">If the threat event is initiated or occurs, it is somewhat likely to have adverse impacts.
</t>
  </si>
  <si>
    <t>Exploit poorly configured or unauthorized information systems exposed to the Internet.</t>
  </si>
  <si>
    <t>Adversary gains access through the Internet to information systems that are not authorized for Internet connectivity or that do not meet organizational configuration requirements.</t>
  </si>
  <si>
    <t>Applies to some organizational missions/business functions (Tier 1), mission/business processes (Tier 2), or information systems (Tier 3).</t>
  </si>
  <si>
    <t>If the threat event is initiated or occurs, it is unlikely to have adverse impacts.</t>
  </si>
  <si>
    <t>Environmental - Natural or Man Made Disaster</t>
  </si>
  <si>
    <r>
      <t xml:space="preserve">Natural disasters and failures of critical infrastructures on which the organization depends, but which are outside the control of the organization.
</t>
    </r>
    <r>
      <rPr>
        <b/>
        <u/>
        <sz val="10"/>
        <color theme="1"/>
        <rFont val="Calibri"/>
        <family val="2"/>
      </rPr>
      <t>Note</t>
    </r>
    <r>
      <rPr>
        <sz val="10"/>
        <color theme="1"/>
        <rFont val="Calibri"/>
        <family val="2"/>
      </rPr>
      <t xml:space="preserve">: Natural and man-made disasters can also be characterized in terms of their severity and/or duration. However, because the threat source and the threat event are strongly identified, severity and duration can be included in the description of the threat event (e.g., Category 5 hurricane causes extensive damage to the facilities housing mission-critical systems, making those systems unavailable for three weeks).
</t>
    </r>
  </si>
  <si>
    <t>Exploit split tunneling.</t>
  </si>
  <si>
    <t>Adversary takes advantage of external organizational or personal information systems (e.g., laptop computers at remote locations) that are simultaneously connected securely to organizational information systems or networks and to nonsecure remote connections.</t>
  </si>
  <si>
    <t xml:space="preserve"> Applies to few organizational missions/business functions (Tier 1), mission/business processes (Tier 2), or information systems (Tier 3).
</t>
  </si>
  <si>
    <t xml:space="preserve">If the threat event is initiated or occurs, it is highly unlikely to have adverse impacts.
</t>
  </si>
  <si>
    <t>Damage to reputation (and hence future or potential trust relationships)</t>
  </si>
  <si>
    <t>Environmental - Fire</t>
  </si>
  <si>
    <t>Exploit multi-tenancy in a cloud environment.</t>
  </si>
  <si>
    <t>Adversary, with processes running in an organizationally-used cloud environment, takes advantage of multi-tenancy to observe behavior of organizational processes, acquire organizational information, or interfere with the timely or correct functioning of organizational processes.</t>
  </si>
  <si>
    <t>HARM TO THE NATION</t>
  </si>
  <si>
    <t>Damage to or incapacitation of a critical infrastructure sector</t>
  </si>
  <si>
    <t>Environmental - Flood/Tsumami</t>
  </si>
  <si>
    <t>Exploit known vulnerabilities in mobile systems (e.g., laptops, PDAs, smart phones).</t>
  </si>
  <si>
    <t>Adversary takes advantage of fact that transportable information systems are outside physical protection of organizations and logical protection of corporate firewalls, and compromises the systems based on known vulnerabilities to gather information from those systems.</t>
  </si>
  <si>
    <t>Loss of government continuity of operations</t>
  </si>
  <si>
    <t>Environmental - Windstorm/Tornado</t>
  </si>
  <si>
    <t>Exploit recently discovered vulnerabilities.</t>
  </si>
  <si>
    <t>Adversary exploits recently discovered vulnerabilities in organizational information systems in an attempt to compromise the systems before mitigation measures are available or in place</t>
  </si>
  <si>
    <t>Damage to trust relationships with other governments or with nongovernmental entities</t>
  </si>
  <si>
    <t>Environmental - Hurricane</t>
  </si>
  <si>
    <t>Exploit vulnerabilities on internal organizational information systems.</t>
  </si>
  <si>
    <t>Adversary searches for known vulnerabilities in organizational internal information systems and exploits those vulnerabilities.</t>
  </si>
  <si>
    <t>Damage to national reputation (and hence future or potential trust relationships</t>
  </si>
  <si>
    <t>Environmental - Earthquake</t>
  </si>
  <si>
    <t>Exploit vulnerabilities using zero-day attacks.</t>
  </si>
  <si>
    <t>Adversary employs attacks that exploit as yet unpublicized vulnerabilities. Zero-day attacks are based on adversary insight into the information systems and applications used by organizations as well as adversary reconnaissance of organizations.</t>
  </si>
  <si>
    <t>Damage to current or future ability to achieve national objectives</t>
  </si>
  <si>
    <t>Harm to national security</t>
  </si>
  <si>
    <t>Environmental - Bombing</t>
  </si>
  <si>
    <t>Exploit vulnerabilities in information systems timed with organizational mission/business operations tempo.</t>
  </si>
  <si>
    <t>Adversary launches attacks on organizations in a time and manner consistent with organizational needs to conduct mission/business operations.</t>
  </si>
  <si>
    <t>Environmental - Overrun</t>
  </si>
  <si>
    <t>Exploit insecure or incomplete data deletion in multi- tenant environment.</t>
  </si>
  <si>
    <t>Adversary obtains unauthorized information due to insecure or incomplete data deletion in a multi-tenant environment (e.g., in a cloud computing environment).</t>
  </si>
  <si>
    <t>Environmental - Unusual Ntural Event (Sunspots, etc.)</t>
  </si>
  <si>
    <t>Violate isolation in multi-tenant environment.</t>
  </si>
  <si>
    <t>Adversary circumvents or defeats isolation mechanisms in a multi-tenant environment (e.g., in a cloud computing environment) to observe, corrupt, or deny service to hosted services and information/data.</t>
  </si>
  <si>
    <t>Environmental - Infrastruture Failure/Outage</t>
  </si>
  <si>
    <t>Compromise critical information systems via physical access.</t>
  </si>
  <si>
    <t>Adversary obtains physical access to organizational information systems and makes modifications.</t>
  </si>
  <si>
    <t>Environmental - Telecommunications</t>
  </si>
  <si>
    <t>Compromise information systems or devices used externally and reintroduced into the enterprise.</t>
  </si>
  <si>
    <t>Adversary installs malware on information systems or devices while the systems/devices are external to organizations for purposes of subsequently infecting organizations when reconnected.</t>
  </si>
  <si>
    <t>Environmental - Electrical Power</t>
  </si>
  <si>
    <t>Compromise software of organizational critical information systems.</t>
  </si>
  <si>
    <t>Adversary inserts malware or otherwise corrupts critical internal organizational information systems.</t>
  </si>
  <si>
    <t>Compromise organizational information systems to facilitate exfiltration of data/information.</t>
  </si>
  <si>
    <t>Adversary implants malware into internal organizational information systems, where the malware over time can identify and then exfiltrate valuable information.</t>
  </si>
  <si>
    <t>Compromise mission-critical information.</t>
  </si>
  <si>
    <t>Adversary compromises the integrity of mission-critical information, thus preventing or impeding ability of organizations to which information is supplied, from carrying out operations.</t>
  </si>
  <si>
    <t>Compromise design, manufacture, and/or distribution of information system components (including hardware, software, and firmware).</t>
  </si>
  <si>
    <t>Adversary compromises the design, manufacture, and/or distribution of critical information system components at selected suppliers.</t>
  </si>
  <si>
    <t>Conduct an attack (i.e., direct/coordinate attack tools or activities).</t>
  </si>
  <si>
    <t>Conduct communications interception attacks.</t>
  </si>
  <si>
    <t>Adversary takes advantage of communications that are either unencrypted or use weak encryption (e.g., encryption containing publically known flaws), targets those communications, and gains access to transmitted information and channels.</t>
  </si>
  <si>
    <t>Conduct wireless jamming attacks.</t>
  </si>
  <si>
    <t>Adversary takes measures to interfere with wireless communications so as to impede or prevent communications from reaching intended recipients.</t>
  </si>
  <si>
    <t>Conduct attacks using unauthorized ports, protocols and services.</t>
  </si>
  <si>
    <t>Adversary conducts attacks using ports, protocols, and services for ingress and egress that are not authorized for use by organizations.</t>
  </si>
  <si>
    <t>Conduct attacks leveraging traffic/data movement allowed across perimeter.</t>
  </si>
  <si>
    <t>Adversary makes use of permitted information flows (e.g., email communication, removable storage) to compromise internal information systems, which allows adversary to obtain and exfiltrate sensitive information through perimeters.</t>
  </si>
  <si>
    <t>Conduct simple Denial of Service (DoS) attack.</t>
  </si>
  <si>
    <t>Adversary attempts to make an Internet-accessible resource unavailable to intended users, or prevent the resource from functioning efficiently or at all, temporarily or indefinitely.</t>
  </si>
  <si>
    <t>Conduct Distributed Denial of Service (DDoS) attacks.</t>
  </si>
  <si>
    <t>Adversary uses multiple compromised information systems to attack a single target, thereby causing denial of service for users of the targeted information systems.</t>
  </si>
  <si>
    <t>Conduct targeted Denial of Service (DoS) attacks.</t>
  </si>
  <si>
    <t>Adversary targets DoS attacks to critical information systems, components, or supporting infrastructures, based on adversary knowledge of dependencies.</t>
  </si>
  <si>
    <t>Conduct physical attacks on organizational facilities.</t>
  </si>
  <si>
    <t>Adversary conducts a physical attack on organizational facilities (e.g., sets a fire).</t>
  </si>
  <si>
    <t>Conduct physical attacks on infrastructures supporting organizational facilities.</t>
  </si>
  <si>
    <t>Adversary conducts a physical attack on one or more infrastructures supporting organizational facilities (e.g., breaks a water main, cuts a power line).</t>
  </si>
  <si>
    <t>Conduct cyber-physical attacks on organizational facilities.</t>
  </si>
  <si>
    <t>Adversary conducts a cyber-physical attack on organizational facilities (e.g., remotely changes HVAC settings).</t>
  </si>
  <si>
    <t>Conduct data scavenging attacks in a cloud environment.</t>
  </si>
  <si>
    <t>Adversary obtains data used and then deleted by organizational processes running in a cloud environment.</t>
  </si>
  <si>
    <t>Conduct brute force login attempts/password guessing attacks.</t>
  </si>
  <si>
    <t>Adversary attempts to gain access to organizational information systems by random or systematic guessing of passwords, possibly supported by password cracking utilities.</t>
  </si>
  <si>
    <t>Conduct nontargeted zero-day attacks.</t>
  </si>
  <si>
    <t>Adversary employs attacks that exploit as yet unpublicized vulnerabilities. Attacks are not based on any adversary insights into specific vulnerabilities of organizations.</t>
  </si>
  <si>
    <t>Conduct externally-based session hijacking.</t>
  </si>
  <si>
    <t>Adversary takes control of (hijacks) already established, legitimate information system sessions between organizations and external entities (e.g., users connecting from off-site locations).</t>
  </si>
  <si>
    <t>Conduct internally-based session hijacking.</t>
  </si>
  <si>
    <t>Adversary places an entity within organizations in order to gain access to organizational information systems or networks for the express purpose of taking control (hijacking) an already established, legitimate session either between organizations and external entities (e.g., users connecting from remote locations) or between two locations within internal networks.</t>
  </si>
  <si>
    <t>Conduct externally-based network traffic modification (man in the middle) attacks.</t>
  </si>
  <si>
    <t>Adversary, operating outside organizational systems, intercepts/eavesdrops on sessions between organizational and external systems. Adversary then relays messages between organizational and external systems, making them believe that they are talking directly to each other over a private connection, when in fact the entire communication is controlled by the adversary. Such attacks are of particular concern for organizational use of community, hybrid, and public clouds.</t>
  </si>
  <si>
    <t>Conduct internally-based network traffic modification (man in the middle) attacks.</t>
  </si>
  <si>
    <t>Adversary operating within the organizational infrastructure intercepts and corrupts data sessions.</t>
  </si>
  <si>
    <t>Conduct outsider-based social engineering to obtain information.</t>
  </si>
  <si>
    <t>Externally placed adversary takes actions (e.g., using email, phone) with the intent of persuading or otherwise tricking individuals within organizations into revealing critical/sensitive information (e.g., personally identifiable information).</t>
  </si>
  <si>
    <t>Conduct insider-based social engineering to obtain information.</t>
  </si>
  <si>
    <t>Internally placed adversary takes actions (e.g., using email, phone) so that individuals within organizations reveal critical/sensitive information (e.g., mission information).</t>
  </si>
  <si>
    <t>Conduct attacks targeting and compromising personal devices of critical employees.</t>
  </si>
  <si>
    <t>Adversary targets key organizational employees by placing malware on their personally owned information systems and devices (e.g., laptop/notebook computers, personal digital assistants, smart phones). The intent is to take advantage of any instances where employees use personal information systems or devices to handle critical/sensitive information.</t>
  </si>
  <si>
    <t>Conduct supply chain attacks targeting and exploiting critical hardware, software, or firmware.</t>
  </si>
  <si>
    <t>Adversary targets and compromises the operation of software (e.g., through malware injections), firmware, and hardware that performs critical functions for organizations. This is largely accomplished as supply chain attacks on both commercial off-the-shelf and custom information systems and components.</t>
  </si>
  <si>
    <t>Achieve results (i.e., cause adverse impacts, obtain information)</t>
  </si>
  <si>
    <t>Obtain sensitive information through network sniffing of external networks.</t>
  </si>
  <si>
    <t>Adversary with access to exposed wired or wireless data channels that organizations (or organizational personnel) use to transmit information (e.g., kiosks, public wireless networks) intercepts communications.</t>
  </si>
  <si>
    <t>Obtain sensitive information via exfiltration.</t>
  </si>
  <si>
    <t>Adversary directs malware on organizational systems to locate and surreptitiously transmit sensitive information.</t>
  </si>
  <si>
    <t>Cause degradation or denial of attacker-selected services or capabilities.</t>
  </si>
  <si>
    <t>Adversary directs malware on organizational systems to impair the correct and timely support of organizational mission/business functions.</t>
  </si>
  <si>
    <t>Cause deterioration/destruction of critical information system components and functions.</t>
  </si>
  <si>
    <t>Adversary destroys or causes deterioration of critical information system components to impede or eliminate organizational ability to carry out missions or business functions. Detection of this action is not a concern.</t>
  </si>
  <si>
    <t>Cause integrity loss by creating, deleting, and/or modifying data on publicly accessible information systems (e.g., web defacement).</t>
  </si>
  <si>
    <t>Adversary vandalizes, or otherwise makes unauthorized changes to, organizational websites or data on websites.</t>
  </si>
  <si>
    <t>Cause integrity loss by polluting or corrupting critical data.</t>
  </si>
  <si>
    <t>Adversary implants corrupted and incorrect data in critical data, resulting in suboptimal actions or loss of confidence in organizational data/services.</t>
  </si>
  <si>
    <t>Cause integrity loss by injecting false but believable data into organizational information systems</t>
  </si>
  <si>
    <t>Adversary injects false but believable data into organizational information systems, resulting in suboptimal actions or loss of confidence in organizational data/services.</t>
  </si>
  <si>
    <t>Cause disclosure of critical and/or sensitive information by authorized users.</t>
  </si>
  <si>
    <t>Adversary induces (e.g., via social engineering) authorized users to inadvertently expose, disclose, or mishandle critical/sensitive information.</t>
  </si>
  <si>
    <t>Cause unauthorized disclosure and/or unavailability by spilling sensitive information.</t>
  </si>
  <si>
    <t>Adversary contaminates organizational information systems (including devices and networks) by causing them to handle information of a classification/sensitivity for which they have not been authorized. The information is exposed to individuals who are not authorized access to such information, and the information system, device, or network is unavailable while the spill is investigated and mitigated.</t>
  </si>
  <si>
    <t>Obtain information by externally located interception of wireless network traffic.</t>
  </si>
  <si>
    <t>Adversary intercepts organizational communications over wireless networks. Examples include targeting public wireless access or hotel networking connections, and drive-by subversion of home or organizational wireless routers.</t>
  </si>
  <si>
    <t>Obtain unauthorized access.</t>
  </si>
  <si>
    <t>Adversary with authorized access to organizational information systems, gains access to resources that exceeds authorization.</t>
  </si>
  <si>
    <t>Obtain sensitive data/information from publicly accessible information systems.</t>
  </si>
  <si>
    <t>Adversary scans or mines information on publically accessible servers and web pages of organizations with the intent of finding sensitive information.</t>
  </si>
  <si>
    <t>Obtain information by opportunistically stealing or scavenging information systems/components.</t>
  </si>
  <si>
    <t>Adversary steals information systems or components (e. g., laptop computers or data storage media) that are left unattended outside of the physical perimeters of organizations, or scavenges discarded components.</t>
  </si>
  <si>
    <t>Maintain a presence or set of capabilities.</t>
  </si>
  <si>
    <t>Obfuscate adversary actions.</t>
  </si>
  <si>
    <t>Adversary takes actions to inhibit the effectiveness of the intrusion detection systems or auditing capabilities within organizations</t>
  </si>
  <si>
    <t>Adapt cyber attacks based on detailed surveillance.</t>
  </si>
  <si>
    <t>Adversary adapts behavior in response to surveillance and organizational security measures.</t>
  </si>
  <si>
    <t>Coordinate a campaign.</t>
  </si>
  <si>
    <t>Coordinate a campaign of multi-staged attacks (e.g., hopping).</t>
  </si>
  <si>
    <t>Adversary moves the source of malicious commands or actions from one compromised information system to another, making analysis difficult.</t>
  </si>
  <si>
    <t>Coordinate a campaign that combines internal and external attacks across multiple information systems and information technologies.</t>
  </si>
  <si>
    <t>Adversary combines attacks that require both physical presence within organizational facilities and cyber methods to achieve success. Physical attack steps may be as simple as convincing maintenance personnel to leave doors or cabinets open.</t>
  </si>
  <si>
    <t>Coordinate campaigns across multiple organizations to acquire specific information or achieve desired outcome.</t>
  </si>
  <si>
    <t>Adversary does not limit planning to the targeting of one organization. Adversary observes multiple organizations to acquire necessary information on targets of interest.</t>
  </si>
  <si>
    <t>Coordinate a campaign that spreads attacks across organizational systems from existing presence.</t>
  </si>
  <si>
    <t>Adversary uses existing presence within organizational systems to extend the adversary’s span of control to other organizational systems including organizational infrastructure. Adversary thus is in position to further undermine organizational ability to carry out missions/business functions.</t>
  </si>
  <si>
    <t>Coordinate a campaign of continuous, adaptive, and changing cyber attacks based on detailed surveillance.</t>
  </si>
  <si>
    <t>Adversary attacks continually change in response to surveillance and organizational security measures.</t>
  </si>
  <si>
    <t>Coordinate cyber attacks using external (outsider), internal (insider), and supply chain (supplier) attack vectors.</t>
  </si>
  <si>
    <t>Adversary employs continuous, coordinated attacks, potentially using all three attack vectors for the purpose of impeding organizational operations.</t>
  </si>
  <si>
    <t>Spill sensitive information</t>
  </si>
  <si>
    <t>Authorized user erroneously contaminates a device, information system, or network by placing on it or sending to it information of a classification/sensitivity which it has not been authorized to handle. The information is exposed to access by unauthorized individuals, and as a result, the device, system, or network is unavailable while the spill is investigated and mitigated.</t>
  </si>
  <si>
    <t>Mishandling of critical and/or sensitive information by authorized users</t>
  </si>
  <si>
    <t>Authorized privileged user inadvertently exposes critical/sensitive information.</t>
  </si>
  <si>
    <t>Incorrect privilege settings</t>
  </si>
  <si>
    <t>Authorized privileged user or administrator erroneously assigns a user exceptional privileges or sets privilege requirements on a resource too low</t>
  </si>
  <si>
    <t>Communications contention</t>
  </si>
  <si>
    <t>Degraded communications performance due to contention.</t>
  </si>
  <si>
    <t>Unreadable display</t>
  </si>
  <si>
    <t>Display unreadable due to aging equipment.</t>
  </si>
  <si>
    <t>Earthquake at primary facility</t>
  </si>
  <si>
    <t>Earthquake of organization-defined magnitude at primary facility makes facility inoperable.</t>
  </si>
  <si>
    <t>Fire at primary facility</t>
  </si>
  <si>
    <t>Fire (not due to adversarial activity) at primary facility makes facility inoperable.</t>
  </si>
  <si>
    <t>Fire at backup facility</t>
  </si>
  <si>
    <t>Fire (not due to adversarial activity) at backup facility makes facility inoperable or destroys backups of software, configurations, data, and/or logs.</t>
  </si>
  <si>
    <t>Flood at primary facility</t>
  </si>
  <si>
    <t>Flood (not due to adversarial activity) at primary facility makes facility inoperable.</t>
  </si>
  <si>
    <t>Flood at backup facility</t>
  </si>
  <si>
    <t>Flood (not due to adversarial activity) at backup facility makes facility inoperable or destroys backups of software, configurations, data, and/or logs.</t>
  </si>
  <si>
    <t>Hurricane at primary facility</t>
  </si>
  <si>
    <t>Hurricane of organization-defined strength at primary facility makes facility inoperable.</t>
  </si>
  <si>
    <t>Hurricane at backup facility</t>
  </si>
  <si>
    <t>Hurricane of organization-defined strength at backup facility makes facility inoperable or destroys backups of software, configurations, data, and/or logs.</t>
  </si>
  <si>
    <t>Resource depletion</t>
  </si>
  <si>
    <t>Degraded processing performance due to resource depletion.</t>
  </si>
  <si>
    <t>Introduction of vulnerabilities into software products</t>
  </si>
  <si>
    <t>Due to inherent weaknesses in programming languages and software development environments, errors and vulnerabilities are introduced into commonly used software products.</t>
  </si>
  <si>
    <t>Disk error</t>
  </si>
  <si>
    <t>Corrupted storage due to a disk error.</t>
  </si>
  <si>
    <t>Pervasive disk error</t>
  </si>
  <si>
    <t>Multiple disk errors due to aging of a set of devices all acquired at the same time, from the same supplier.</t>
  </si>
  <si>
    <t>Windstorm/tornado at primary facility</t>
  </si>
  <si>
    <t>Windstorm/tornado of organization-defined strength at primary facility makes facility inoperable.</t>
  </si>
  <si>
    <t>Windstorm/tornado at backup facility</t>
  </si>
  <si>
    <t>Windstorm/tornado of organization-defined strength at backup facility makes facility inoperable or destroys backups of software, configurations, data, and/or logs.</t>
  </si>
  <si>
    <t>Perform reconnaissance and gather information.</t>
  </si>
  <si>
    <t>Craft or create attack tools</t>
  </si>
  <si>
    <t>Insert targeted malware into organizational information systems and information system components.</t>
  </si>
  <si>
    <t>Install general-purpose sniffers on organization-controlled information systems or networks.</t>
  </si>
  <si>
    <t>Insert subverted individuals into organizations.</t>
  </si>
  <si>
    <t>Exploit insecure or incomplete data deletion in multi-tenant environment.</t>
  </si>
  <si>
    <t>Coordinate a campaign of continuous, adaptive, and changing cyber attacks based on detailed surveillance</t>
  </si>
  <si>
    <t>H3</t>
  </si>
  <si>
    <t>I3</t>
  </si>
  <si>
    <t>J3</t>
  </si>
  <si>
    <t>E2: Adversarial Threat Events</t>
  </si>
  <si>
    <t>$F AKA Col 6</t>
  </si>
  <si>
    <t>$G AKA Col 7</t>
  </si>
  <si>
    <t>$FH AKA Col 8</t>
  </si>
  <si>
    <t>E2: Adversarial Threat Events Categories</t>
  </si>
  <si>
    <t>E2: Adversarial Threat Events Events</t>
  </si>
  <si>
    <t>E2: Adversarial Threat Events Descriptions</t>
  </si>
  <si>
    <t>E3: Non-Adversarial Threat Events</t>
  </si>
  <si>
    <t>$H AKA Col 8</t>
  </si>
  <si>
    <t>$I AKA Col 9</t>
  </si>
  <si>
    <t>$J AKA Col 10</t>
  </si>
  <si>
    <t>$K AKA Col 11</t>
  </si>
  <si>
    <t>$L AKA Col 12</t>
  </si>
  <si>
    <t>$M AKA Col 13</t>
  </si>
  <si>
    <t>$N AKA Col 14</t>
  </si>
  <si>
    <t>$O AKA Col 15</t>
  </si>
  <si>
    <t>$P AKA Col 16</t>
  </si>
  <si>
    <t>$Q AKA Col 17</t>
  </si>
  <si>
    <t>$R AKA Col 18</t>
  </si>
  <si>
    <t xml:space="preserve"> Adversarial Threat Event</t>
  </si>
  <si>
    <t xml:space="preserve"> Adversarial Threat Event Category</t>
  </si>
  <si>
    <t xml:space="preserve"> Non-Adversarial Threat Event Category</t>
  </si>
  <si>
    <t>Appendix D Table D-2</t>
  </si>
  <si>
    <t>Value:</t>
  </si>
  <si>
    <t>E4: Adversarial Capability</t>
  </si>
  <si>
    <t>Table E4: Relevance of Threat Events</t>
  </si>
  <si>
    <t xml:space="preserve">E4: Threat Event Relevance </t>
  </si>
  <si>
    <t>Score:</t>
  </si>
  <si>
    <t>1</t>
  </si>
  <si>
    <t>Credibility:</t>
  </si>
  <si>
    <t>D38</t>
  </si>
  <si>
    <t>E38</t>
  </si>
  <si>
    <t>F38</t>
  </si>
  <si>
    <t>G38</t>
  </si>
  <si>
    <t>H38</t>
  </si>
  <si>
    <t>I38</t>
  </si>
  <si>
    <t>J38</t>
  </si>
  <si>
    <t>K38</t>
  </si>
  <si>
    <t>L38</t>
  </si>
  <si>
    <t>M38</t>
  </si>
  <si>
    <t>N38</t>
  </si>
  <si>
    <t>O38</t>
  </si>
  <si>
    <t>P38</t>
  </si>
  <si>
    <t>Q38</t>
  </si>
  <si>
    <t>R38</t>
  </si>
  <si>
    <t>S38</t>
  </si>
  <si>
    <t>T38</t>
  </si>
  <si>
    <t>U38</t>
  </si>
  <si>
    <t>E2B'!C18</t>
  </si>
  <si>
    <t>C38</t>
  </si>
  <si>
    <t>J18</t>
  </si>
  <si>
    <t>I18</t>
  </si>
  <si>
    <t>H18</t>
  </si>
  <si>
    <t>G18</t>
  </si>
  <si>
    <t>F18</t>
  </si>
  <si>
    <t>E18</t>
  </si>
  <si>
    <t>D18</t>
  </si>
  <si>
    <t>C18</t>
  </si>
  <si>
    <t>Description: Adversary obtains physical access to organizational information systems and makes modifications.</t>
  </si>
  <si>
    <t>B18</t>
  </si>
  <si>
    <t>E2A'!C18</t>
  </si>
  <si>
    <t>C3</t>
  </si>
  <si>
    <t>D-Tables</t>
  </si>
  <si>
    <t>C18:G18</t>
  </si>
  <si>
    <t>C38:G78</t>
  </si>
  <si>
    <t>D3'!Z17</t>
  </si>
  <si>
    <t>D3'!Z17 ==</t>
  </si>
  <si>
    <t>K7</t>
  </si>
  <si>
    <t>D-Tables'!$L$7 -- &gt;'D3'! D7</t>
  </si>
  <si>
    <t>D-Tables'!$K$7 -- &gt;'D3'! C7</t>
  </si>
  <si>
    <t>IF(  OR( NOT(Adversarial),   ('D-Tables'!$K$7='D3'!$C$17)  ),   "n/a",       VALUE(CONCATENATE("0",    IF('D-Tables'!$K$7='D3'!$C$18,3,""),    IF('D-Tables'!$K$7='D3'!$C$19,13,""),     IF('D-Tables'!$K$7='D3'!$C$20,51,""),          IF('D-Tables'!$K$7='D3'!$C$21,88,""),       IF('D-Tables'!$K$7='D3'!$C$22,98,""))))</t>
  </si>
  <si>
    <t>VALUE(CONCATENATE(IF('D3'!$C$7='D3'!$C$17,1111,""),IF('D3'!$C$7='D3'!$C$18,3,""),IF('D3'!$C$7='D3'!$C$19,13,""),IF('D3'!$C$7='D3'!$C$20,51,""),IF('D3'!$C$7='D3'!$C$21,88,""),IF('D3'!$C$7='D3'!$C$22,98,"")))</t>
  </si>
  <si>
    <t>G38:G78</t>
  </si>
  <si>
    <t>F38:F78</t>
  </si>
  <si>
    <t>E38:E78</t>
  </si>
  <si>
    <t>D38:D78</t>
  </si>
  <si>
    <t>C38:C78</t>
  </si>
  <si>
    <t>H38:H78</t>
  </si>
  <si>
    <t>I38:I78</t>
  </si>
  <si>
    <t>J38:J78</t>
  </si>
  <si>
    <t>SelectorRow==</t>
  </si>
  <si>
    <t>ColumnRow==</t>
  </si>
  <si>
    <t>E2B:Formula</t>
  </si>
  <si>
    <r>
      <t xml:space="preserve">If 'D-tables'!$V$7--&gt;D39 = 'Craft spear phishing attacks' == </t>
    </r>
    <r>
      <rPr>
        <b/>
        <sz val="12"/>
        <color rgb="FFFFC000"/>
        <rFont val="Calibri"/>
        <family val="2"/>
      </rPr>
      <t>(1,2)</t>
    </r>
  </si>
  <si>
    <t>Description: 
Adversary uses commercial or free software to scan organizational perimeters to obtain a better understanding of the information technology infrastructure and improve the ability to launch successful attacks.</t>
  </si>
  <si>
    <t>Description:
Adversary with access to exposed wired or wireless data channels used to transmit information, uses network sniffing to identify components, resources, and protections.</t>
  </si>
  <si>
    <t>Description:
Adversary mines publically accessible information to gather information about organizational information systems, business processes, users or personnel, or external relationships that the adversary can subsequently employ in support of an attack.</t>
  </si>
  <si>
    <t>Description:
Adversary uses various means (e.g., scanning, physical observation) over time to examine and assess organizations and ascertain points of vulnerability.</t>
  </si>
  <si>
    <t>Description:
Adversary uses malware installed inside the organizational perimeter to identify targets of opportunity. Because the scanning, probing, or observation does not cross the perimeter, it is not detected by externally placed intrusion detection systems.</t>
  </si>
  <si>
    <t>Description:
Adversary counterfeits communications from a legitimate/trustworthy source to acquire sensitive information such as usernames, passwords, or SSNs. Typical attacks occur via email, instant messaging, or comparable means; commonly directing users to websites that appear to be legitimate sites, while actually stealing the entered information.</t>
  </si>
  <si>
    <t>Description:
Adversary employs phishing attacks targeted at high value targets (e.g., senior leaders/executives).</t>
  </si>
  <si>
    <t>Description:
Adversary develops attacks (e.g., crafts targeted malware) that take advantage of adversary knowledge of the organizational information technology environment.</t>
  </si>
  <si>
    <t>Description:
Adversary creates duplicates of legitimate websites; when users visit a counterfeit site, the site can gather information or download malware.</t>
  </si>
  <si>
    <t>Description:
Adversary counterfeits or compromises a certificate authority, so that malware or connections will appear legitimate.</t>
  </si>
  <si>
    <t>Description:
Adversary creates false front organizations with the appearance of legitimate suppliers in the critical life-cycle path that then inject corrupted/malicious information system components into the organizational supply chain.</t>
  </si>
  <si>
    <t>Description:
Adversary uses common delivery mechanisms (e.g., email) to install/insert known malware (e. g., malware whose existence is known) into organizational information systems.</t>
  </si>
  <si>
    <t>Description:
Adversary uses more sophisticated delivery mechanisms than email (e.g., web traffic, instant messaging, FTP) to deliver malware and possibly modifications of known malware to gain access to internal organizational information systems.</t>
  </si>
  <si>
    <t>Description:
Adversary installs malware that is specifically designed to take control of internal organizational information systems, identify sensitive information, exfiltrate the information back to adversary, and conceal these actions.</t>
  </si>
  <si>
    <t>Description:
Adversary places removable media (e.g., flash drives) containing malware in locations external to organizational physical perimeters but where employees are likely to find the media (e.g., facilities parking lots, exhibits at conferences attended by employees) and use it on organizational information systems.</t>
  </si>
  <si>
    <t>Description:
Adversary corrupts or inserts malware into common freeware, shareware or commercial information technology products. Adversary is not targeting specific organizations, simply looking for entry points into internal organizational information systems. Note that this is particularly a concern for mobile applications.</t>
  </si>
  <si>
    <t>Description:
Adversary inserts malware into organizational information systems and information system components (e.g., commercial information technology products), specifically targeted to the hardware, software, and firmware used by organizations (based on knowledge gained via reconnaissance).</t>
  </si>
  <si>
    <t>Description:
Adversary inserts specialized, non-detectable, malware into organizational information systems based on system configurations, specifically targeting critical information system components based on reconnaissance and placement within organizational information systems.</t>
  </si>
  <si>
    <t>Description:
Adversary intercepts hardware from legitimate suppliers. Adversary modifies the hardware or replaces it with faulty or otherwise modified hardware.</t>
  </si>
  <si>
    <t>Description:
Adversary replaces, though supply chain, subverted insider, or some combination thereof, critical information system components with modified or corrupted components.</t>
  </si>
  <si>
    <t>Description:
Adversary installs sniffing software onto internal organizational information systems or networks.</t>
  </si>
  <si>
    <t>Description:
Adversary places within internal organizational information systems or networks software designed to (over a continuous period of time) collect (sniff) network traffic.</t>
  </si>
  <si>
    <t>Description:
Adversary uses postal service or other commercial delivery services to deliver to organizational mailrooms a device that is able to scan wireless communications accessible from within the mailrooms and then wirelessly transmit information back to adversary.</t>
  </si>
  <si>
    <t>Description:
Adversary places individuals within organizations who are willing and able to carry out actions to cause harm to organizational missions/business functions.</t>
  </si>
  <si>
    <t>Description:
Adversary places individuals in privileged positions within organizations who are willing and able to carry out actions to cause harm to organizational missions/business functions. Adversary may target privileged functions to gain access to sensitive information (e.g., user accounts, system files, etc.) and may leverage access to one privileged capability to get to another capability.</t>
  </si>
  <si>
    <t>Description:
Adversary follows (“tailgates”) authorized individuals into secure/controlled locations with the goal of gaining access to facilities, circumventing physical security checks.</t>
  </si>
  <si>
    <t>Description:
Adversary gains access through the Internet to information systems that are not authorized for Internet connectivity or that do not meet organizational configuration requirements.</t>
  </si>
  <si>
    <t>Description:
Adversary takes advantage of external organizational or personal information systems (e.g., laptop computers at remote locations) that are simultaneously connected securely to organizational information systems or networks and to nonsecure remote connections.</t>
  </si>
  <si>
    <t>Description:
Adversary, with processes running in an organizationally-used cloud environment, takes advantage of multi-tenancy to observe behavior of organizational processes, acquire organizational information, or interfere with the timely or correct functioning of organizational processes.</t>
  </si>
  <si>
    <t>Description:
Adversary takes advantage of fact that transportable information systems are outside physical protection of organizations and logical protection of corporate firewalls, and compromises the systems based on known vulnerabilities to gather information from those systems.</t>
  </si>
  <si>
    <t>Description:
Adversary exploits recently discovered vulnerabilities in organizational information systems in an attempt to compromise the systems before mitigation measures are available or in place.</t>
  </si>
  <si>
    <t>Description:
Adversary searches for known vulnerabilities in organizational internal information systems and exploits those vulnerabilities.</t>
  </si>
  <si>
    <t>Description:
Adversary employs attacks that exploit as yet unpublicized vulnerabilities. Zero-day attacks are based on adversary insight into the information systems and applications used by organizations as well as adversary reconnaissance of organizations.</t>
  </si>
  <si>
    <t>Description:
Adversary launches attacks on organizations in a time and manner consistent with organizational needs to conduct mission/business operations.</t>
  </si>
  <si>
    <t>Description:
Adversary obtains unauthorized information due to insecure or incomplete data deletion in a multi-tenant environment (e.g., in a cloud computing environment).</t>
  </si>
  <si>
    <t>Description:
Adversary circumvents or defeats isolation mechanisms in a multi-tenant environment (e.g., in a cloud computing environment) to observe, corrupt, or deny service to hosted services and information/data.</t>
  </si>
  <si>
    <t>Description:
Adversary installs malware on information systems or devices while the systems/devices are external to organizations for purposes of subsequently infecting organizations when reconnected.</t>
  </si>
  <si>
    <t>Description:
Adversary inserts malware or otherwise corrupts critical internal organizational information systems.</t>
  </si>
  <si>
    <t>Description:
Adversary implants malware into internal organizational information systems, where the malware over time can identify and then exfiltrate valuable information.</t>
  </si>
  <si>
    <t>Description:
Adversary compromises the integrity of mission-critical information, thus preventing or impeding ability of organizations to which information is supplied, from carrying out operations</t>
  </si>
  <si>
    <t>Description:
Adversary compromises the design, manufacture, and/or distribution of critical information system components at selected suppliers.</t>
  </si>
  <si>
    <t>Description:
Adversary takes advantage of communications that are either unencrypted or use weak encryption (e.g., encryption containing publically known flaws), targets those communications, and gains access to transmitted information and channels.</t>
  </si>
  <si>
    <t>Description:
Adversary takes measures to interfere with wireless communications so as to impede or prevent communications from reaching intended recipients.</t>
  </si>
  <si>
    <t>Description:
Adversary conducts attacks using ports, protocols, and services for ingress and egress that are not authorized for use by organizations.</t>
  </si>
  <si>
    <t>Description:
Adversary makes use of permitted information flows (e.g., email communication, removable storage) to compromise internal information systems, which allows adversary to obtain and exfiltrate sensitive information through perimeters.</t>
  </si>
  <si>
    <t>Description:
Adversary attempts to make an Internet-accessible resource unavailable to intended users, or prevent the resource from functioning efficiently or at all, temporarily or indefinitely.</t>
  </si>
  <si>
    <t>Description:
Adversary uses multiple compromised information systems to attack a single target, thereby causing denial of service for users of the targeted information systems.</t>
  </si>
  <si>
    <t>Description:
Adversary targets DoS attacks to critical information systems, components, or supporting infrastructures, based on adversary knowledge of dependencies.</t>
  </si>
  <si>
    <t>Description:
Adversary conducts a physical attack on organizational facilities (e.g., sets a fire).</t>
  </si>
  <si>
    <t>Description:
Adversary conducts a physical attack on one or more infrastructures supporting organizational facilities (e.g., breaks a water main, cuts a power line).</t>
  </si>
  <si>
    <t>Description:
Adversary conducts a cyber-physical attack on organizational facilities (e.g., remotely changes HVAC settings).</t>
  </si>
  <si>
    <t>Description:
Adversary obtains data used and then deleted by organizational processes running in a cloud environment.</t>
  </si>
  <si>
    <t>Description:
Adversary with access to exposed wired or wireless data channels that organizations (or organizational personnel) use to transmit information (e.g., kiosks, public wireless networks) intercepts communications.</t>
  </si>
  <si>
    <t>Description:
Adversary directs malware on organizational systems to locate and surreptitiously transmit sensitive information.</t>
  </si>
  <si>
    <t>Description:
Adversary directs malware on organizational systems to impair the correct and timely support of organizational mission/business functions.</t>
  </si>
  <si>
    <t>Description:
Adversary destroys or causes deterioration of critical information system components to impede or eliminate organizational ability to carry out missions or business functions. Detection of this action is not a concern.</t>
  </si>
  <si>
    <t>Description:
Adversary vandalizes, or otherwise makes unauthorized changes to, organizational websites or data on websites.</t>
  </si>
  <si>
    <t>Description:
Adversary implants corrupted and incorrect data in critical data, resulting in suboptimal actions or loss of confidence in organizational data/services.</t>
  </si>
  <si>
    <t>Description:
Adversary injects false but believable data into organizational information systems, resulting in suboptimal actions or loss of confidence in organizational data/services.</t>
  </si>
  <si>
    <t>Description:
Adversary induces (e.g., via social engineering) authorized users to inadvertently expose, disclose, or mishandle critical/sensitive information.</t>
  </si>
  <si>
    <t>Description:
Adversary contaminates organizational information systems (including devices and networks) by causing them to handle information of a classification/sensitivity for which they have not been authorized. The information is exposed to individuals who are not authorized access to such information, and the information system, device, or network is unavailable while the spill is investigated and mitigated</t>
  </si>
  <si>
    <t>Description:
Adversary intercepts organizational communications over wireless networks. Examples include targeting public wireless access or hotel networking connections, and drive-by subversion of home or organizational wireless routers.</t>
  </si>
  <si>
    <t>Description:
Adversary with authorized access to organizational information systems, gains access to resources that exceeds authorization.</t>
  </si>
  <si>
    <t>Description:
Adversary scans or mines information on publically accessible servers and web pages of organizations with the intent of finding sensitive information.</t>
  </si>
  <si>
    <t>Description:
Adversary attempts to gain access to organizational information systems by random or systematic guessing of passwords, possibly supported by password cracking utilities.</t>
  </si>
  <si>
    <t>Description:
Adversary employs attacks that exploit as yet unpublicized vulnerabilities. Attacks are not based on any adversary insights into specific vulnerabilities of organizations.</t>
  </si>
  <si>
    <t>Description:
Adversary takes control of (hijacks) already established, legitimate information system sessions between organizations and external entities (e.g., users connecting from off-site locations).</t>
  </si>
  <si>
    <t>Description:
Adversary places an entity within organizations in order to gain access to organizational information systems or networks for the express purpose of taking control (hijacking) an already established, legitimate session either between organizations and external entities (e.g., users connecting from remote locations) or between two locations within internal networks.</t>
  </si>
  <si>
    <t>Description:
Adversary, operating outside organizational systems, intercepts/eavesdrops on sessions between organizational and external systems. Adversary then relays messages between organizational and external systems, making them believe that they are talking directly to each other over a private connection, when in fact the entire communication is controlled by the adversary. Such attacks are of particular concern for organizational use of community, hybrid, and public clouds.</t>
  </si>
  <si>
    <t>Description:
Adversary operating within the organizational infrastructure intercepts and corrupts data sessions.</t>
  </si>
  <si>
    <t>Description:
Externally placed adversary takes actions (e.g., using email, phone) with the intent of persuading or otherwise tricking individuals within organizations into revealing critical/sensitive information (e.g., personally identifiable information).</t>
  </si>
  <si>
    <t>Description:
Internally placed adversary takes actions (e.g., using email, phone) so that individuals within organizations reveal critical/sensitive information (e.g., mission information).</t>
  </si>
  <si>
    <t>Description:
Adversary targets key organizational employees by placing malware on their personally owned information systems and devices (e.g., laptop/notebook computers, personal digital assistants, smart phones). The intent is to take advantage of any instances where employees use personal information systems or devices to handle critical/sensitive information.</t>
  </si>
  <si>
    <t>Description:
Adversary targets and compromises the operation of software (e.g., through malware injections), firmware, and hardware that performs critical functions for organizations. This is largely accomplished as supply chain attacks on both commercial off-the-shelf and custom information systems and components.</t>
  </si>
  <si>
    <t>Description:
Adversary steals information systems or components (e. g., laptop computers or data storage media) that are left unattended outside of the physical perimeters of organizations, or scavenges discarded components.</t>
  </si>
  <si>
    <t>Description:
Adversary takes actions to inhibit the effectiveness of the intrusion detection systems or auditing capabilities within organizations.</t>
  </si>
  <si>
    <t>Description:
Adversary adapts behavior in response to surveillance and organizational security measures.</t>
  </si>
  <si>
    <t>Description:
Adversary moves the source of malicious commands or actions from one compromised information system to another, making analysis difficult.</t>
  </si>
  <si>
    <t>Description:
Adversary combines attacks that require both physical presence within organizational facilities and cyber methods to achieve success. Physical attack steps may be as simple as convincing maintenance personnel to leave doors or cabinets open.</t>
  </si>
  <si>
    <t>Description:
Adversary does not limit planning to the targeting of one organization. Adversary observes multiple organizations to acquire necessary information on targets of interest.</t>
  </si>
  <si>
    <t>Description:
Adversary uses existing presence within organizational systems to extend the adversary’s span of control to other organizational systems including organizational infrastructure. Adversary thus is in position to further undermine organizational ability to carry out missions/business functions.</t>
  </si>
  <si>
    <t>Description:
Adversary attacks continually change in response to surveillance and organizational security measures.</t>
  </si>
  <si>
    <t>Description:
Adversary employs continuous, coordinated attacks, potentially using all three attack vectors for the purpose of impeding organizational operations.</t>
  </si>
  <si>
    <t>MATCH('D-Tables'!$U$7,E2B!$C$38:$J$38,0)</t>
  </si>
  <si>
    <t>Description: Applies to many organizational missions/business functions (Tier 1), mission/business processes (Tier 2), or information systems (Tier 3).</t>
  </si>
  <si>
    <t>F2: Vernability Severity</t>
  </si>
  <si>
    <t>F2: SME Rating?</t>
  </si>
  <si>
    <t>F5: SME Rating?</t>
  </si>
  <si>
    <t>TABLE F-4: TAXONOMY OF PREDISPOSING CONDITIONS</t>
  </si>
  <si>
    <t>INFORMATION-RELATED</t>
  </si>
  <si>
    <t>TECHNICAL</t>
  </si>
  <si>
    <t>OPERATIONAL / ENVIRONMENTAL</t>
  </si>
  <si>
    <t>Compartments</t>
  </si>
  <si>
    <t>Controlled Unclassified Information</t>
  </si>
  <si>
    <t>Personally Identifiable Information</t>
  </si>
  <si>
    <t>Special Access Programs</t>
  </si>
  <si>
    <t>Allocation of specific security functionality to common controls (Architectural )</t>
  </si>
  <si>
    <t>Solutions for and/or approaches to user-based collaboration
and information sharing (Architectural )</t>
  </si>
  <si>
    <t>Use of specific products or product lines (Architectural )</t>
  </si>
  <si>
    <t>NOFORN (Agreement-Determined)</t>
  </si>
  <si>
    <t>Proprietary (Agreement-Determined)</t>
  </si>
  <si>
    <t>Networked multiuser (Functional)</t>
  </si>
  <si>
    <t>Single-user (Functional)</t>
  </si>
  <si>
    <t>Stand-alone / nonnetworked (Functional)</t>
  </si>
  <si>
    <t>Restricted functionality - e.g., communications, sensors, embedded controllers (Functional)</t>
  </si>
  <si>
    <r>
      <t>Mobility: Fixed-site [</t>
    </r>
    <r>
      <rPr>
        <sz val="11"/>
        <color rgb="FFC00000"/>
        <rFont val="Calibri"/>
        <family val="2"/>
        <scheme val="minor"/>
      </rPr>
      <t>Specify Location</t>
    </r>
    <r>
      <rPr>
        <sz val="11"/>
        <color theme="1"/>
        <rFont val="Calibri"/>
        <family val="2"/>
        <scheme val="minor"/>
      </rPr>
      <t xml:space="preserve">] </t>
    </r>
  </si>
  <si>
    <t>Mobility: Semi-mobile (Land-based, Airborne, Sea-based, Space-based)</t>
  </si>
  <si>
    <t>Mobility: Mobile - e.g., handheld device</t>
  </si>
  <si>
    <t>Size of population (with physical and/or logical access to components
of the information system, mission/business process, EA segment)</t>
  </si>
  <si>
    <t>Clearance/vetting of population (with physical and/or logical access to components
of the information system, mission/business process, EA segment)</t>
  </si>
  <si>
    <t>Description:
Needs to handle information (as it is created, transmitted, stored, processed, and/or displayed) in a specific manner, due to its sensitivity (or lack of sensitivity), legal or regulatory requirements, and/or contractual or other organizational agreements.</t>
  </si>
  <si>
    <t>Description:
Needs to use technologies in specific ways.</t>
  </si>
  <si>
    <t>Description:
Ability to rely upon physical, procedural, and personnel controls provided by the operational environment.</t>
  </si>
  <si>
    <t>TABLE F-4: TAXONOMY OF PREDISPOSING CONDITION Category:</t>
  </si>
  <si>
    <t>TABLE F-4: TAXONOMY OF PREDISPOSING CONDITION Selection:</t>
  </si>
  <si>
    <t>F4: TAXONOMY OF PREDISPOSING CONDITIONS</t>
  </si>
  <si>
    <t>F4: PREDISPOSING CONDITION:</t>
  </si>
  <si>
    <t>F4: PREDISPOSING CONDITION Category:</t>
  </si>
  <si>
    <t>MeanValue_F2 ==</t>
  </si>
  <si>
    <t>Description:
The vulnerability is not of concern. Relevant security control or other remediation is fully implemented, assessed, and effective.</t>
  </si>
  <si>
    <t>MeanValueDT ==</t>
  </si>
  <si>
    <t xml:space="preserve"> E2: Adversarial Threat Event Category</t>
  </si>
  <si>
    <t xml:space="preserve"> E2: Adversarial Threat Event</t>
  </si>
  <si>
    <t>E4: Threat Event Relevance - Credibility:</t>
  </si>
  <si>
    <t>F4: PREDISPOSING CONDITION - Category:</t>
  </si>
  <si>
    <t>F5: Condition Pervasiveness</t>
  </si>
  <si>
    <t>Compliance with technical standards (Architectural )</t>
  </si>
  <si>
    <t>Suggested output is via a  24 x 60 inch Landscape Plotter.</t>
  </si>
  <si>
    <t>G2: SME Rating?</t>
  </si>
  <si>
    <t>G3: SME Rating?</t>
  </si>
  <si>
    <t>G4: SME Rating?</t>
  </si>
  <si>
    <t>Likelihood Threat Event Initiation or Occurrence</t>
  </si>
  <si>
    <t>Likelihood Threat Events Result in Adverse Impacts</t>
  </si>
  <si>
    <t>Description: 
Adversary is almost certain to initiate the threat event.</t>
  </si>
  <si>
    <t>Description: Error, accident, or act of nature is highly unlikely to occur; or occurs less than once every 10 years.</t>
  </si>
  <si>
    <t>Description: Error, accident, or act of nature is unlikely to occur; or occurs less than once a year, but more than once every 10 years.</t>
  </si>
  <si>
    <t>Description: Error, accident, or act of nature is somewhat likely to occur; or occurs between 1-10 times a year.</t>
  </si>
  <si>
    <t>Description: Error, accident, or act of nature is highly likely to occur; or occurs between 10-100 times a year</t>
  </si>
  <si>
    <t>Description: Error, accident, or act of nature is almost certain to occur; or occurs more than 100 times a year.</t>
  </si>
  <si>
    <t>Description: If the threat event is initiated or occurs, it is highly unlikely to have adverse impacts.</t>
  </si>
  <si>
    <t>Description: If the threat event is initiated or occurs, it is unlikely to have adverse impacts.</t>
  </si>
  <si>
    <t>Description: If the threat event is initiated or occurs, it is somewhat likely to have adverse impacts.</t>
  </si>
  <si>
    <t>Description: If the threat event is initiated or occurs, it is highly likely to have adverse impacts.</t>
  </si>
  <si>
    <t>Description: If the threat event is initiated or occurs, it is almost certain to have adverse impacts.</t>
  </si>
  <si>
    <t>G5: Score</t>
  </si>
  <si>
    <t>Description: The threat event could be expected to have a negligible adverse effect on organizational operations, organizational assets, individuals other organizations, or the Nation.</t>
  </si>
  <si>
    <t>Description: The threat event could be expected to have multiple severe or catastrophic adverse effects on organizational operations, organizational assets, individuals, other organizations, or the Nation.</t>
  </si>
  <si>
    <t>Direct financial costs.</t>
  </si>
  <si>
    <t>Damage to or loss of physical facilities.</t>
  </si>
  <si>
    <t>Damage to or loss of information technology or equipment.</t>
  </si>
  <si>
    <t>Damage to or loss of component parts or supplies.</t>
  </si>
  <si>
    <t>Damage to or of loss of information assets.</t>
  </si>
  <si>
    <t>Injury or loss of life.</t>
  </si>
  <si>
    <t>Physical or psychological mistreatment.</t>
  </si>
  <si>
    <t>Identity theft.</t>
  </si>
  <si>
    <t>Loss of Personally Identifiable Information.</t>
  </si>
  <si>
    <t>Damage to image or reputation.</t>
  </si>
  <si>
    <r>
      <t xml:space="preserve">Inability to perform current missions/business functions. - 
</t>
    </r>
    <r>
      <rPr>
        <sz val="11"/>
        <color rgb="FFC00000"/>
        <rFont val="Calibri"/>
        <family val="2"/>
        <scheme val="minor"/>
      </rPr>
      <t>In a sufficiently timely manner.</t>
    </r>
  </si>
  <si>
    <r>
      <t xml:space="preserve">Inability to perform current missions/business functions. - 
</t>
    </r>
    <r>
      <rPr>
        <sz val="11"/>
        <color rgb="FFC00000"/>
        <rFont val="Calibri"/>
        <family val="2"/>
        <scheme val="minor"/>
      </rPr>
      <t>With sufficient confidence and/or correctness.</t>
    </r>
  </si>
  <si>
    <r>
      <t xml:space="preserve">Inability to perform current missions/business functions. - 
</t>
    </r>
    <r>
      <rPr>
        <sz val="11"/>
        <color rgb="FFC00000"/>
        <rFont val="Calibri"/>
        <family val="2"/>
        <scheme val="minor"/>
      </rPr>
      <t>Within planned resource constraints.</t>
    </r>
  </si>
  <si>
    <r>
      <t>Inability, or limited ability, to perform missions/business functions in the future. -</t>
    </r>
    <r>
      <rPr>
        <sz val="11"/>
        <color rgb="FFC00000"/>
        <rFont val="Calibri"/>
        <family val="2"/>
        <scheme val="minor"/>
      </rPr>
      <t xml:space="preserve"> 
Inability to restore missions/business functions.</t>
    </r>
  </si>
  <si>
    <r>
      <t xml:space="preserve">Inability, or limited ability, to perform missions/business functions in the future. - 
</t>
    </r>
    <r>
      <rPr>
        <sz val="11"/>
        <color rgb="FFC00000"/>
        <rFont val="Calibri"/>
        <family val="2"/>
        <scheme val="minor"/>
      </rPr>
      <t>In a sufficiently timely manner.</t>
    </r>
  </si>
  <si>
    <r>
      <t xml:space="preserve">Inability, or limited ability, to perform missions/business functions in the future. - 
</t>
    </r>
    <r>
      <rPr>
        <sz val="11"/>
        <color rgb="FFC00000"/>
        <rFont val="Calibri"/>
        <family val="2"/>
        <scheme val="minor"/>
      </rPr>
      <t>With sufficient confidence and/or correctness.</t>
    </r>
  </si>
  <si>
    <r>
      <t xml:space="preserve">Inability, or limited ability, to perform missions/business functions in the future. - 
</t>
    </r>
    <r>
      <rPr>
        <sz val="11"/>
        <color rgb="FFC00000"/>
        <rFont val="Calibri"/>
        <family val="2"/>
        <scheme val="minor"/>
      </rPr>
      <t>Within planned resource constraints.</t>
    </r>
  </si>
  <si>
    <r>
      <t xml:space="preserve">Harms (e.g., financial costs, sanctions) due to noncompliance. - 
</t>
    </r>
    <r>
      <rPr>
        <sz val="11"/>
        <color rgb="FFC00000"/>
        <rFont val="Calibri"/>
        <family val="2"/>
        <scheme val="minor"/>
      </rPr>
      <t>With applicable laws or regulations.</t>
    </r>
  </si>
  <si>
    <r>
      <t xml:space="preserve">Harms (e.g., financial costs, sanctions) due to noncompliance. - 
</t>
    </r>
    <r>
      <rPr>
        <sz val="11"/>
        <color rgb="FFC00000"/>
        <rFont val="Calibri"/>
        <family val="2"/>
        <scheme val="minor"/>
      </rPr>
      <t>With contractual requirements or other requirements in other binding agreements (e.g., liability).</t>
    </r>
  </si>
  <si>
    <r>
      <t xml:space="preserve">Relational harms. - 
</t>
    </r>
    <r>
      <rPr>
        <sz val="11"/>
        <color rgb="FFC00000"/>
        <rFont val="Calibri"/>
        <family val="2"/>
        <scheme val="minor"/>
      </rPr>
      <t>Damage to trust relationships.</t>
    </r>
  </si>
  <si>
    <r>
      <t xml:space="preserve">Relational harms. - 
</t>
    </r>
    <r>
      <rPr>
        <sz val="11"/>
        <color rgb="FFC00000"/>
        <rFont val="Calibri"/>
        <family val="2"/>
        <scheme val="minor"/>
      </rPr>
      <t>Damage to image or reputation (and hence future or potential trust relationships).</t>
    </r>
  </si>
  <si>
    <r>
      <t xml:space="preserve">Harms (e.g., financial costs, sanctions) due to noncompliance. - 
</t>
    </r>
    <r>
      <rPr>
        <sz val="11"/>
        <color rgb="FFFF0000"/>
        <rFont val="Calibri"/>
        <family val="2"/>
        <scheme val="minor"/>
      </rPr>
      <t>With applicable laws or regulations.</t>
    </r>
  </si>
  <si>
    <r>
      <t xml:space="preserve">Harms (e.g., financial costs, sanctions) due to noncompliance. - 
</t>
    </r>
    <r>
      <rPr>
        <sz val="11"/>
        <color rgb="FFFF0000"/>
        <rFont val="Calibri"/>
        <family val="2"/>
        <scheme val="minor"/>
      </rPr>
      <t>With contractual requirements or other requirements in other binding agreements.</t>
    </r>
  </si>
  <si>
    <r>
      <t xml:space="preserve">Relational harms. - 
</t>
    </r>
    <r>
      <rPr>
        <sz val="11"/>
        <color rgb="FFFF0000"/>
        <rFont val="Calibri"/>
        <family val="2"/>
        <scheme val="minor"/>
      </rPr>
      <t>Damage to trust relationships.</t>
    </r>
  </si>
  <si>
    <r>
      <t xml:space="preserve">Relational harms. - 
</t>
    </r>
    <r>
      <rPr>
        <sz val="11"/>
        <color rgb="FFFF0000"/>
        <rFont val="Calibri"/>
        <family val="2"/>
        <scheme val="minor"/>
      </rPr>
      <t>Damage to reputation (and hence future or potential trust relationships).</t>
    </r>
  </si>
  <si>
    <t>Damage to or incapacitation of a critical infrastructure sector.</t>
  </si>
  <si>
    <t>Loss of government continuity of operations.</t>
  </si>
  <si>
    <r>
      <t xml:space="preserve">Relational harms. -  
</t>
    </r>
    <r>
      <rPr>
        <sz val="11"/>
        <color rgb="FFFF0000"/>
        <rFont val="Calibri"/>
        <family val="2"/>
        <scheme val="minor"/>
      </rPr>
      <t>Damage to trust relationships with other governments or with nongovernmental entities.</t>
    </r>
  </si>
  <si>
    <r>
      <t xml:space="preserve">Relational harms. - 
</t>
    </r>
    <r>
      <rPr>
        <sz val="11"/>
        <color rgb="FFFF0000"/>
        <rFont val="Calibri"/>
        <family val="2"/>
        <scheme val="minor"/>
      </rPr>
      <t>Damage to trust relationships with other governments or with nongovernmental entities.</t>
    </r>
  </si>
  <si>
    <r>
      <t xml:space="preserve">Damage to current or future ability to achieve national objectives. - 
</t>
    </r>
    <r>
      <rPr>
        <sz val="11"/>
        <color rgb="FFFF0000"/>
        <rFont val="Calibri"/>
        <family val="2"/>
        <scheme val="minor"/>
      </rPr>
      <t>Harm to national security.</t>
    </r>
  </si>
  <si>
    <t>$E:$22</t>
  </si>
  <si>
    <t>$F:$22</t>
  </si>
  <si>
    <t>$G:$22</t>
  </si>
  <si>
    <t>Description: Very low risk means that a threat event could be expected to have a negligible adverse effect on organizational operations, organizational assets, individuals, other organizations, or the Nation.</t>
  </si>
  <si>
    <t>Description: Low risk means that a threat event could be expected to have a limited adverse effect on organizational operations, organizational assets, individuals, other organizations, or the Nation.</t>
  </si>
  <si>
    <t>Description: Moderate risk means that a threat event could be expected to have a serious adverse effect on organizational operations, organizational assets, individuals, other organizations, or the Nation.</t>
  </si>
  <si>
    <t>Description: High risk means that a threat event could be expected to have a severe or catastrophic adverse effect on organizational operations, organizational assets, individuals, other organizations, or the Nation.</t>
  </si>
  <si>
    <t>Description: Very high risk means that a threat event could be expected to have multiple severe or catastrophic adverse effects on organizational operations, organizational assets, individuals, other organizations, or the Nation.</t>
  </si>
  <si>
    <t xml:space="preserve">H2: Type of Impact: </t>
  </si>
  <si>
    <t>H2: Examples of Adverse Impacts</t>
  </si>
  <si>
    <t>H2: Impact</t>
  </si>
  <si>
    <t>Inability to perform current missions/business functions. - 
In a sufficiently timely manner.</t>
  </si>
  <si>
    <t>H3: SME Rating?</t>
  </si>
  <si>
    <t>IF( OR(NOT(Adversarial),('D-Tables'!$K$7='G2'!$C$17) ),"n/a",VALUE(CONCATENATE("0",IF('D-Tables'!$K$7='G2'!$C$18,3,""),IF('D-Tables'!$K$7='G2'!$C$19,13,""),IF('D-Tables'!$K$7='G2'!$C$20,51,""),IF('D-Tables'!$K$7='G2'!$C$21,88,""),IF('D-Tables'!$K$7='G2'!$C$22,98,""))))</t>
  </si>
  <si>
    <t>MeanG2::D-Tables</t>
  </si>
  <si>
    <t>MeanValG2_DTables</t>
  </si>
  <si>
    <t>MeanValDT_G2</t>
  </si>
  <si>
    <t>SmeRatingD3</t>
  </si>
  <si>
    <t>SmeRatingG3</t>
  </si>
  <si>
    <t xml:space="preserve">D-Tables'!$K$7 (ai) --&gt;'D-Tables'!$AK$7 </t>
  </si>
  <si>
    <t xml:space="preserve">D-Tables'!$L$7 (aj)--&gt;'D-Tables'!$AL$7 </t>
  </si>
  <si>
    <t>OR(IF('D-Tables'!$AK$7='D3'!$C$17,1,0),AND(IF('D-Tables'!$AK$7='D3'!$C$18,1,0),OR(IF('D-Tables'!$AL$7&lt;'D3'!$D$18,1,0),IF('D-Tables'!$AL$7&gt;='D3'!$E$18,1,0))),  AND(IF('D-Tables'!$AK$7='D3'!$C$19,1,0),OR(IF('D-Tables'!$AL$7&lt;'D3'!$D$19,1,0),IF('D-Tables'!$AL$7&gt;='D3'!$E$19,1,0))),    AND(IF('D-Tables'!$AK$7='D3'!$C$20,1,0),OR(IF('D-Tables'!$AL$7&lt;'D3'!$D$20,1,0),IF('D-Tables'!$AL$7&gt;='D3'!$E$20,1,0))),  AND(IF('D-Tables'!$AK$7='D3'!$C$21,1,0),OR(IF('D-Tables'!$AL$7&lt;'D3'!$D$21,1,0),IF('D-Tables'!$AL$7&gt;='D3'!$E$21,1,0))),  AND(IF('D-Tables'!$AK$7='D3'!$C$22,1,0),OR(IF('D-Tables'!$AL$7&lt;'D3'!$D$22,1,0), IF('D-Tables'!$AL$7&gt;'D3'!$E$22,1,0))))</t>
  </si>
  <si>
    <t>OR(IF('D-Tables'!$K$7='D3'!$C$17,1,0),   AND(IF('D-Tables'!$K$7='D3'!$C$18,1,0),   OR(IF('D-Tables'!$L$7&lt;'D3'!$D$18,1,0),   IF('D-Tables'!$L$7&gt;='D3'!$E$18,1,0))),     AND(IF('D-Tables'!$K$7='D3'!$C$19,1,0),  OR(IF('D-Tables'!$L$7&lt;'D3'!$D$19,1,0),    IF('D-Tables'!$L$7&gt;='D3'!$E$19,1,0))),      AND(IF('D-Tables'!$K$7='D3'!$C$20,1,0),    OR(IF('D-Tables'!$L$7&lt;'D3'!$D$20,1,0),   IF('D-Tables'!$L$7&gt;='D3'!$E$20,1,0))),     AND(IF('D-Tables'!$K$7='D3'!$C$21,1,0),  OR(IF('D-Tables'!$L$7&lt;'D3'!$D$21,1,0),   IF('D-Tables'!$L$7&gt;='D3'!$E$21,1,0))),      AND(IF('D-Tables'!$K$7='D3'!$C$22,1,0),  OR(IF('D-Tables'!$L$7&lt;'D3'!$D$22,1,0),    IF('D-Tables'!$L$7&gt;'D3'!$E$22,1,0))))</t>
  </si>
  <si>
    <t>NOW()</t>
  </si>
  <si>
    <t>ID Generator</t>
  </si>
  <si>
    <t>E4: Valuation</t>
  </si>
  <si>
    <t>Avg Predisposing Condition</t>
  </si>
  <si>
    <t>G2: Adversary Threat Event Initiation</t>
  </si>
  <si>
    <t>G3: Non-Adversarial Treat Occurrence</t>
  </si>
  <si>
    <t xml:space="preserve">G4: Adverse Impact of Threat </t>
  </si>
  <si>
    <t>21,22,23</t>
  </si>
  <si>
    <t>24,25,26</t>
  </si>
  <si>
    <t>27,28,29</t>
  </si>
  <si>
    <t>30,31,32</t>
  </si>
  <si>
    <t>33,34,35</t>
  </si>
  <si>
    <t>36,37,38</t>
  </si>
  <si>
    <t>39,40,41</t>
  </si>
  <si>
    <t>42,43,44</t>
  </si>
  <si>
    <t>45,46,47</t>
  </si>
  <si>
    <t>48,49,50</t>
  </si>
  <si>
    <t>54,55,56</t>
  </si>
  <si>
    <t>57,58,59</t>
  </si>
  <si>
    <t>60,61,62</t>
  </si>
  <si>
    <t>63,64,65</t>
  </si>
  <si>
    <t>66,67,68</t>
  </si>
  <si>
    <t>69,70,71</t>
  </si>
  <si>
    <t>72,73,74</t>
  </si>
  <si>
    <t>75,76,77</t>
  </si>
  <si>
    <t>78,79,80</t>
  </si>
  <si>
    <r>
      <rPr>
        <b/>
        <sz val="14"/>
        <color theme="1"/>
        <rFont val="Calibri"/>
        <family val="2"/>
        <scheme val="minor"/>
      </rPr>
      <t>51</t>
    </r>
    <r>
      <rPr>
        <sz val="11"/>
        <color theme="1"/>
        <rFont val="Calibri"/>
        <family val="2"/>
        <scheme val="minor"/>
      </rPr>
      <t>,52,53</t>
    </r>
  </si>
  <si>
    <t>6-Low</t>
  </si>
  <si>
    <t>5-Low</t>
  </si>
  <si>
    <t>4-Low</t>
  </si>
  <si>
    <t>3-VLow</t>
  </si>
  <si>
    <t>6-Mod</t>
  </si>
  <si>
    <t>7-Mod</t>
  </si>
  <si>
    <t>8-High</t>
  </si>
  <si>
    <t>9-VHigh</t>
  </si>
  <si>
    <t>10-Vhigh</t>
  </si>
  <si>
    <t>9-Vhigh</t>
  </si>
  <si>
    <t>2-VLow</t>
  </si>
  <si>
    <r>
      <t>2-VL-VL-[</t>
    </r>
    <r>
      <rPr>
        <b/>
        <sz val="14"/>
        <color rgb="FFFF0000"/>
        <rFont val="Calibri"/>
        <family val="2"/>
        <scheme val="minor"/>
      </rPr>
      <t>1</t>
    </r>
    <r>
      <rPr>
        <sz val="11"/>
        <color theme="1"/>
        <rFont val="Calibri"/>
        <family val="2"/>
        <scheme val="minor"/>
      </rPr>
      <t>]</t>
    </r>
  </si>
  <si>
    <r>
      <t>3-L-VL-[</t>
    </r>
    <r>
      <rPr>
        <sz val="14"/>
        <color rgb="FFFF0000"/>
        <rFont val="Calibri"/>
        <family val="2"/>
        <scheme val="minor"/>
      </rPr>
      <t>2</t>
    </r>
    <r>
      <rPr>
        <sz val="11"/>
        <color theme="1"/>
        <rFont val="Calibri"/>
        <family val="2"/>
        <scheme val="minor"/>
      </rPr>
      <t>]</t>
    </r>
  </si>
  <si>
    <r>
      <t>7-VH-L,H-M,-[</t>
    </r>
    <r>
      <rPr>
        <b/>
        <sz val="14"/>
        <color rgb="FFFF0000"/>
        <rFont val="Calibri"/>
        <family val="2"/>
        <scheme val="minor"/>
      </rPr>
      <t>67</t>
    </r>
    <r>
      <rPr>
        <sz val="11"/>
        <color theme="1"/>
        <rFont val="Calibri"/>
        <family val="2"/>
        <scheme val="minor"/>
      </rPr>
      <t>]</t>
    </r>
  </si>
  <si>
    <r>
      <t>4-M-VL,</t>
    </r>
    <r>
      <rPr>
        <b/>
        <sz val="11"/>
        <color rgb="FFFF0000"/>
        <rFont val="Calibri"/>
        <family val="2"/>
        <scheme val="minor"/>
      </rPr>
      <t>LL</t>
    </r>
    <r>
      <rPr>
        <sz val="11"/>
        <color theme="1"/>
        <rFont val="Calibri"/>
        <family val="2"/>
        <scheme val="minor"/>
      </rPr>
      <t>,VL-M-[</t>
    </r>
    <r>
      <rPr>
        <sz val="14"/>
        <color rgb="FFFF0000"/>
        <rFont val="Calibri"/>
        <family val="2"/>
        <scheme val="minor"/>
      </rPr>
      <t>13</t>
    </r>
    <r>
      <rPr>
        <sz val="11"/>
        <color theme="1"/>
        <rFont val="Calibri"/>
        <family val="2"/>
        <scheme val="minor"/>
      </rPr>
      <t>]</t>
    </r>
  </si>
  <si>
    <r>
      <t>6-H-L,</t>
    </r>
    <r>
      <rPr>
        <b/>
        <sz val="11"/>
        <color rgb="FFFF0000"/>
        <rFont val="Calibri"/>
        <family val="2"/>
        <scheme val="minor"/>
      </rPr>
      <t>MM</t>
    </r>
    <r>
      <rPr>
        <sz val="11"/>
        <color theme="1"/>
        <rFont val="Calibri"/>
        <family val="2"/>
        <scheme val="minor"/>
      </rPr>
      <t>,VL-VH-[</t>
    </r>
    <r>
      <rPr>
        <b/>
        <sz val="14"/>
        <color rgb="FFFF0000"/>
        <rFont val="Calibri"/>
        <family val="2"/>
        <scheme val="minor"/>
      </rPr>
      <t>51</t>
    </r>
    <r>
      <rPr>
        <sz val="11"/>
        <color theme="1"/>
        <rFont val="Calibri"/>
        <family val="2"/>
        <scheme val="minor"/>
      </rPr>
      <t>]</t>
    </r>
  </si>
  <si>
    <r>
      <t>8-VH-M,</t>
    </r>
    <r>
      <rPr>
        <b/>
        <sz val="11"/>
        <color rgb="FFFF0000"/>
        <rFont val="Calibri"/>
        <family val="2"/>
        <scheme val="minor"/>
      </rPr>
      <t>H-H</t>
    </r>
    <r>
      <rPr>
        <sz val="11"/>
        <color theme="1"/>
        <rFont val="Calibri"/>
        <family val="2"/>
        <scheme val="minor"/>
      </rPr>
      <t>-</t>
    </r>
    <r>
      <rPr>
        <b/>
        <sz val="14"/>
        <color rgb="FFFF0000"/>
        <rFont val="Calibri"/>
        <family val="2"/>
        <scheme val="minor"/>
      </rPr>
      <t>[88</t>
    </r>
    <r>
      <rPr>
        <sz val="11"/>
        <color theme="1"/>
        <rFont val="Calibri"/>
        <family val="2"/>
        <scheme val="minor"/>
      </rPr>
      <t>]</t>
    </r>
  </si>
  <si>
    <r>
      <t>10-</t>
    </r>
    <r>
      <rPr>
        <b/>
        <sz val="11"/>
        <color rgb="FFFF0000"/>
        <rFont val="Calibri"/>
        <family val="2"/>
        <scheme val="minor"/>
      </rPr>
      <t>VH-VH</t>
    </r>
    <r>
      <rPr>
        <sz val="11"/>
        <color theme="1"/>
        <rFont val="Calibri"/>
        <family val="2"/>
        <scheme val="minor"/>
      </rPr>
      <t>-[</t>
    </r>
    <r>
      <rPr>
        <b/>
        <sz val="14"/>
        <color rgb="FFFF0000"/>
        <rFont val="Calibri"/>
        <family val="2"/>
        <scheme val="minor"/>
      </rPr>
      <t>98</t>
    </r>
    <r>
      <rPr>
        <sz val="11"/>
        <color theme="1"/>
        <rFont val="Calibri"/>
        <family val="2"/>
        <scheme val="minor"/>
      </rPr>
      <t>]</t>
    </r>
  </si>
  <si>
    <r>
      <t>9-H-VH-[</t>
    </r>
    <r>
      <rPr>
        <b/>
        <sz val="14"/>
        <color rgb="FFFF0000"/>
        <rFont val="Calibri"/>
        <family val="2"/>
        <scheme val="minor"/>
      </rPr>
      <t>97</t>
    </r>
    <r>
      <rPr>
        <sz val="11"/>
        <color theme="1"/>
        <rFont val="Calibri"/>
        <family val="2"/>
        <scheme val="minor"/>
      </rPr>
      <t>]</t>
    </r>
  </si>
  <si>
    <r>
      <t>5-H-VL,ML-[</t>
    </r>
    <r>
      <rPr>
        <sz val="14"/>
        <color rgb="FFFF0000"/>
        <rFont val="Calibri"/>
        <family val="2"/>
        <scheme val="minor"/>
      </rPr>
      <t>15</t>
    </r>
    <r>
      <rPr>
        <sz val="11"/>
        <color theme="1"/>
        <rFont val="Calibri"/>
        <family val="2"/>
        <scheme val="minor"/>
      </rPr>
      <t>]</t>
    </r>
  </si>
  <si>
    <r>
      <t>6-VH-VL-[</t>
    </r>
    <r>
      <rPr>
        <b/>
        <sz val="11"/>
        <color rgb="FFFF0000"/>
        <rFont val="Calibri"/>
        <family val="2"/>
        <scheme val="minor"/>
      </rPr>
      <t>18</t>
    </r>
    <r>
      <rPr>
        <sz val="11"/>
        <color theme="1"/>
        <rFont val="Calibri"/>
        <family val="2"/>
        <scheme val="minor"/>
      </rPr>
      <t>]</t>
    </r>
  </si>
  <si>
    <t>Sum:</t>
  </si>
  <si>
    <r>
      <t>sum-Rating-[</t>
    </r>
    <r>
      <rPr>
        <b/>
        <sz val="11"/>
        <color rgb="FFFF0000"/>
        <rFont val="Calibri"/>
        <family val="2"/>
        <scheme val="minor"/>
      </rPr>
      <t>Score</t>
    </r>
    <r>
      <rPr>
        <sz val="11"/>
        <color theme="1"/>
        <rFont val="Calibri"/>
        <family val="2"/>
        <scheme val="minor"/>
      </rPr>
      <t>]</t>
    </r>
  </si>
  <si>
    <t>H2: Adverse Impacts</t>
  </si>
  <si>
    <t>Help:  Select an [Impact] and then accept /change the [SME Rating?].</t>
  </si>
  <si>
    <t>$AU$7</t>
  </si>
  <si>
    <t>MeanH3Val</t>
  </si>
  <si>
    <t>6-VLow</t>
  </si>
  <si>
    <t>5-VLow</t>
  </si>
  <si>
    <t>4-VLow</t>
  </si>
  <si>
    <t>7-Low</t>
  </si>
  <si>
    <t>8-Mod</t>
  </si>
  <si>
    <t>9-High</t>
  </si>
  <si>
    <r>
      <t>10-VH-VH-[</t>
    </r>
    <r>
      <rPr>
        <b/>
        <sz val="11"/>
        <color rgb="FFFF0000"/>
        <rFont val="Calibri"/>
        <family val="2"/>
        <scheme val="minor"/>
      </rPr>
      <t>100</t>
    </r>
    <r>
      <rPr>
        <sz val="11"/>
        <color theme="1"/>
        <rFont val="Calibri"/>
        <family val="2"/>
        <scheme val="minor"/>
      </rPr>
      <t>]</t>
    </r>
  </si>
  <si>
    <r>
      <t>9-H-VH-[</t>
    </r>
    <r>
      <rPr>
        <b/>
        <sz val="11"/>
        <color rgb="FFFF0000"/>
        <rFont val="Calibri"/>
        <family val="2"/>
        <scheme val="minor"/>
      </rPr>
      <t>99</t>
    </r>
    <r>
      <rPr>
        <sz val="11"/>
        <color theme="1"/>
        <rFont val="Calibri"/>
        <family val="2"/>
        <scheme val="minor"/>
      </rPr>
      <t>]</t>
    </r>
  </si>
  <si>
    <r>
      <t>8-H-H,VH-M-</t>
    </r>
    <r>
      <rPr>
        <b/>
        <sz val="11"/>
        <color rgb="FFFF0000"/>
        <rFont val="Calibri"/>
        <family val="2"/>
        <scheme val="minor"/>
      </rPr>
      <t>[88</t>
    </r>
    <r>
      <rPr>
        <sz val="11"/>
        <color theme="1"/>
        <rFont val="Calibri"/>
        <family val="2"/>
        <scheme val="minor"/>
      </rPr>
      <t>]</t>
    </r>
  </si>
  <si>
    <r>
      <t>9-VH-H-[</t>
    </r>
    <r>
      <rPr>
        <b/>
        <sz val="11"/>
        <color rgb="FFFF0000"/>
        <rFont val="Calibri"/>
        <family val="2"/>
        <scheme val="minor"/>
      </rPr>
      <t>91</t>
    </r>
    <r>
      <rPr>
        <sz val="11"/>
        <color theme="1"/>
        <rFont val="Calibri"/>
        <family val="2"/>
        <scheme val="minor"/>
      </rPr>
      <t>]</t>
    </r>
  </si>
  <si>
    <r>
      <t>6-M-M-[</t>
    </r>
    <r>
      <rPr>
        <b/>
        <sz val="11"/>
        <color rgb="FFFF0000"/>
        <rFont val="Calibri"/>
        <family val="2"/>
        <scheme val="minor"/>
      </rPr>
      <t>51</t>
    </r>
    <r>
      <rPr>
        <sz val="11"/>
        <color theme="1"/>
        <rFont val="Calibri"/>
        <family val="2"/>
        <scheme val="minor"/>
      </rPr>
      <t>]</t>
    </r>
  </si>
  <si>
    <r>
      <t>7-M-H,L-VH-[</t>
    </r>
    <r>
      <rPr>
        <b/>
        <sz val="11"/>
        <color rgb="FFFF0000"/>
        <rFont val="Calibri"/>
        <family val="2"/>
        <scheme val="minor"/>
      </rPr>
      <t>60</t>
    </r>
    <r>
      <rPr>
        <sz val="11"/>
        <color theme="1"/>
        <rFont val="Calibri"/>
        <family val="2"/>
        <scheme val="minor"/>
      </rPr>
      <t>]</t>
    </r>
  </si>
  <si>
    <r>
      <t>8-M-VH-[</t>
    </r>
    <r>
      <rPr>
        <b/>
        <sz val="11"/>
        <color rgb="FFFF0000"/>
        <rFont val="Calibri"/>
        <family val="2"/>
        <scheme val="minor"/>
      </rPr>
      <t>75</t>
    </r>
    <r>
      <rPr>
        <sz val="11"/>
        <color theme="1"/>
        <rFont val="Calibri"/>
        <family val="2"/>
        <scheme val="minor"/>
      </rPr>
      <t>]</t>
    </r>
  </si>
  <si>
    <r>
      <t>4-L-L-[</t>
    </r>
    <r>
      <rPr>
        <b/>
        <sz val="11"/>
        <color rgb="FFFF0000"/>
        <rFont val="Calibri"/>
        <family val="2"/>
        <scheme val="minor"/>
      </rPr>
      <t>13</t>
    </r>
    <r>
      <rPr>
        <sz val="11"/>
        <color theme="1"/>
        <rFont val="Calibri"/>
        <family val="2"/>
        <scheme val="minor"/>
      </rPr>
      <t>]</t>
    </r>
  </si>
  <si>
    <r>
      <t>5-L-M,VL-H-[</t>
    </r>
    <r>
      <rPr>
        <b/>
        <sz val="11"/>
        <color rgb="FFFF0000"/>
        <rFont val="Calibri"/>
        <family val="2"/>
        <scheme val="minor"/>
      </rPr>
      <t>15</t>
    </r>
    <r>
      <rPr>
        <sz val="11"/>
        <color theme="1"/>
        <rFont val="Calibri"/>
        <family val="2"/>
        <scheme val="minor"/>
      </rPr>
      <t>]</t>
    </r>
  </si>
  <si>
    <r>
      <t>6-L-H,VL-VH-</t>
    </r>
    <r>
      <rPr>
        <b/>
        <sz val="11"/>
        <color rgb="FFFF0000"/>
        <rFont val="Calibri"/>
        <family val="2"/>
        <scheme val="minor"/>
      </rPr>
      <t>[17</t>
    </r>
    <r>
      <rPr>
        <sz val="11"/>
        <color theme="1"/>
        <rFont val="Calibri"/>
        <family val="2"/>
        <scheme val="minor"/>
      </rPr>
      <t>]</t>
    </r>
  </si>
  <si>
    <r>
      <t>7-L-VH-[</t>
    </r>
    <r>
      <rPr>
        <b/>
        <sz val="11"/>
        <color rgb="FFFF0000"/>
        <rFont val="Calibri"/>
        <family val="2"/>
        <scheme val="minor"/>
      </rPr>
      <t>19</t>
    </r>
    <r>
      <rPr>
        <sz val="11"/>
        <color theme="1"/>
        <rFont val="Calibri"/>
        <family val="2"/>
        <scheme val="minor"/>
      </rPr>
      <t>]</t>
    </r>
  </si>
  <si>
    <r>
      <t>2-VL-VL-[</t>
    </r>
    <r>
      <rPr>
        <b/>
        <sz val="11"/>
        <color rgb="FFFF0000"/>
        <rFont val="Calibri"/>
        <family val="2"/>
        <scheme val="minor"/>
      </rPr>
      <t>0</t>
    </r>
    <r>
      <rPr>
        <sz val="11"/>
        <color theme="1"/>
        <rFont val="Calibri"/>
        <family val="2"/>
        <scheme val="minor"/>
      </rPr>
      <t>]</t>
    </r>
  </si>
  <si>
    <r>
      <t>6-VL-VH-[</t>
    </r>
    <r>
      <rPr>
        <b/>
        <sz val="11"/>
        <color rgb="FFFF0000"/>
        <rFont val="Calibri"/>
        <family val="2"/>
        <scheme val="minor"/>
      </rPr>
      <t>4</t>
    </r>
    <r>
      <rPr>
        <sz val="11"/>
        <color theme="1"/>
        <rFont val="Calibri"/>
        <family val="2"/>
        <scheme val="minor"/>
      </rPr>
      <t>]</t>
    </r>
  </si>
  <si>
    <r>
      <t>5-VL-H-[</t>
    </r>
    <r>
      <rPr>
        <b/>
        <sz val="11"/>
        <color rgb="FFFF0000"/>
        <rFont val="Calibri"/>
        <family val="2"/>
        <scheme val="minor"/>
      </rPr>
      <t>3</t>
    </r>
    <r>
      <rPr>
        <sz val="11"/>
        <color theme="1"/>
        <rFont val="Calibri"/>
        <family val="2"/>
        <scheme val="minor"/>
      </rPr>
      <t>]</t>
    </r>
  </si>
  <si>
    <r>
      <t>4-VL-M-[</t>
    </r>
    <r>
      <rPr>
        <sz val="11"/>
        <color rgb="FFFF0000"/>
        <rFont val="Calibri"/>
        <family val="2"/>
        <scheme val="minor"/>
      </rPr>
      <t>2</t>
    </r>
    <r>
      <rPr>
        <sz val="11"/>
        <color theme="1"/>
        <rFont val="Calibri"/>
        <family val="2"/>
        <scheme val="minor"/>
      </rPr>
      <t>]</t>
    </r>
  </si>
  <si>
    <r>
      <t>3-VL-L-[</t>
    </r>
    <r>
      <rPr>
        <b/>
        <sz val="11"/>
        <color rgb="FFFF0000"/>
        <rFont val="Calibri"/>
        <family val="2"/>
        <scheme val="minor"/>
      </rPr>
      <t>1</t>
    </r>
    <r>
      <rPr>
        <sz val="11"/>
        <color theme="1"/>
        <rFont val="Calibri"/>
        <family val="2"/>
        <scheme val="minor"/>
      </rPr>
      <t>]</t>
    </r>
  </si>
  <si>
    <t>Test:</t>
  </si>
  <si>
    <t>T --&gt; X</t>
  </si>
  <si>
    <t>U --&gt; Y</t>
  </si>
  <si>
    <t>$AX$7</t>
  </si>
  <si>
    <t>MeanI3Val</t>
  </si>
  <si>
    <t>MeanI3Val::D-Tables</t>
  </si>
  <si>
    <t>I3: Level of Risk</t>
  </si>
  <si>
    <t>G4'!Z17</t>
  </si>
  <si>
    <t>MeanG4::D-Tables</t>
  </si>
  <si>
    <t>G3'!Z17</t>
  </si>
  <si>
    <t>MeanG3::D-Tables</t>
  </si>
  <si>
    <t>MeanG3Val</t>
  </si>
  <si>
    <t>Risk:</t>
  </si>
  <si>
    <t>0-4+</t>
  </si>
  <si>
    <t>5-20+</t>
  </si>
  <si>
    <t>21-79+</t>
  </si>
  <si>
    <t>80-95+</t>
  </si>
  <si>
    <t>96-100</t>
  </si>
  <si>
    <t>E</t>
  </si>
  <si>
    <t>H2,3:</t>
  </si>
  <si>
    <t>Impact Level:</t>
  </si>
  <si>
    <t>Threat Event:</t>
  </si>
  <si>
    <t>F</t>
  </si>
  <si>
    <t>G</t>
  </si>
  <si>
    <t>H</t>
  </si>
  <si>
    <t>I</t>
  </si>
  <si>
    <t>C</t>
  </si>
  <si>
    <t>D</t>
  </si>
  <si>
    <t>Threat Event Impact:</t>
  </si>
  <si>
    <t>Threat Event Likelihood:</t>
  </si>
  <si>
    <t>Horizontal Match</t>
  </si>
  <si>
    <t>Vertical Match:</t>
  </si>
  <si>
    <t>G2/3</t>
  </si>
  <si>
    <t>Event Likelihood:</t>
  </si>
  <si>
    <t>G4:</t>
  </si>
  <si>
    <t>Impact Likelihood:</t>
  </si>
  <si>
    <t>[Threat Type]</t>
  </si>
  <si>
    <t>Line 7:</t>
  </si>
  <si>
    <t>Yes</t>
  </si>
  <si>
    <t>No</t>
  </si>
  <si>
    <t>G5: Threat Occurrence Likelihood</t>
  </si>
  <si>
    <t>G2:  'Work'!$AL7 || G3: 'Work'!AN$7   ||    G4:   'Work'!AP$7</t>
  </si>
  <si>
    <t>Overall Likelihood(G5):</t>
  </si>
  <si>
    <t>Adversarial G2/G4:</t>
  </si>
  <si>
    <t>Non-Adversarial G3/G4:</t>
  </si>
  <si>
    <t>G5Ranking=</t>
  </si>
  <si>
    <t>G5Score=</t>
  </si>
  <si>
    <t>G5:  Likelihood of Threat Occurrence</t>
  </si>
  <si>
    <t>Overall Likelihood(I2):</t>
  </si>
  <si>
    <t xml:space="preserve">      G4:   'Work'!AP$7  ||  H3: 'Work'!AX$7 </t>
  </si>
  <si>
    <t xml:space="preserve">                             E14   ||   G14</t>
  </si>
  <si>
    <t>I3Ranking[G4/H3]:</t>
  </si>
  <si>
    <t>I3Score[G4/H3]:</t>
  </si>
  <si>
    <t>Level of Risk</t>
  </si>
  <si>
    <t>Work:H7</t>
  </si>
  <si>
    <t>Work:B7</t>
  </si>
  <si>
    <t>Work</t>
  </si>
  <si>
    <t>Work:K7</t>
  </si>
  <si>
    <t>Table D-7: Template - Identification of Adversarial Threat Sources</t>
  </si>
  <si>
    <t>Table D-8: Template - Identification of Non-Adversarial Threat Sources</t>
  </si>
  <si>
    <t>Table E-5: Template- Identification of Threat Events</t>
  </si>
  <si>
    <t>E2: Adversarial Threat Event Category [Work:V7]</t>
  </si>
  <si>
    <t>E2: Adversarial Threat Event [Work:W7]</t>
  </si>
  <si>
    <t>E3: Non-Adversarial Threat Events [Work:X7]</t>
  </si>
  <si>
    <t>Table D7</t>
  </si>
  <si>
    <t>Table D8</t>
  </si>
  <si>
    <t>Task 2-3: Vulnerability - Source of Information [Work:AB7]</t>
  </si>
  <si>
    <t>F2:Vulnerability Severity [Work:AC7]</t>
  </si>
  <si>
    <t>F2: SME Rating [Work:AD7]</t>
  </si>
  <si>
    <t>Table F-6: Template - Identification of Predisposing Conditions</t>
  </si>
  <si>
    <t>G2: Likelihood of Threat Event Initiation (Adversarial)</t>
  </si>
  <si>
    <t>G3: Likelihood of Threat Event Ocurrence (Non-Adversarial)</t>
  </si>
  <si>
    <t>G4: Likelihood of Threat Event Resulting in Adverse Impacts</t>
  </si>
  <si>
    <t>Table G6</t>
  </si>
  <si>
    <t>G4: Adverse Impact of Threat [Work:N7]</t>
  </si>
  <si>
    <t>G4: SME Rating? [Work:O7]</t>
  </si>
  <si>
    <t>G5: Overall Likelihood</t>
  </si>
  <si>
    <t>G5: Threat Occurrence Likelihood [Work:P7]</t>
  </si>
  <si>
    <t>G5: Score [Work:Q7]</t>
  </si>
  <si>
    <t xml:space="preserve"> </t>
  </si>
  <si>
    <t>G2: Adversary Threat Event Initiation [Work:AL7]</t>
  </si>
  <si>
    <t>G2: SME Rating? [Work:AM7]</t>
  </si>
  <si>
    <t>G3: Non-Adversarial Treat Occurrence [Work:AN7]</t>
  </si>
  <si>
    <t>G3: SME Rating? [Work:AO7]</t>
  </si>
  <si>
    <t>D2: Taxonomy of Threat Sources</t>
  </si>
  <si>
    <t>D2: Type of Threat Sources [Work:I7]</t>
  </si>
  <si>
    <t>D2: Threat Source Characteristics [Work:J7]</t>
  </si>
  <si>
    <t>D3: Characteristics of Adversary Capability</t>
  </si>
  <si>
    <t>D4: Characteristics of Adversary Intent</t>
  </si>
  <si>
    <t>D5: Characteristics of Adversary Targeting</t>
  </si>
  <si>
    <t>D6:Identification of Non-Adversarial Threat Sources</t>
  </si>
  <si>
    <t>Range of Efects</t>
  </si>
  <si>
    <t>Threat Source of Information</t>
  </si>
  <si>
    <t>D3: Adversarial Capability [Work:L7]</t>
  </si>
  <si>
    <t>D3: SME Rating? [Work:M7]</t>
  </si>
  <si>
    <t>D4: Adversarial Intent [Work:N7]</t>
  </si>
  <si>
    <t>D4: SME Rating? [Work:O7]</t>
  </si>
  <si>
    <t>D5: Adversarial Targeting [Work:P7]</t>
  </si>
  <si>
    <t>D5: SME Rating? [Work:Q7]</t>
  </si>
  <si>
    <t>D6: Non-Adversarial Effects [Work:R7]</t>
  </si>
  <si>
    <t>D6: SME Rating? [Work:S7]</t>
  </si>
  <si>
    <t>Table H-4: Template - Identification of Adverse Impacts</t>
  </si>
  <si>
    <t>H2: Examples of Adverse Impact</t>
  </si>
  <si>
    <t>H2: Type of Impact [Work:AV7]</t>
  </si>
  <si>
    <t>H2: Impact [Work:AW7]</t>
  </si>
  <si>
    <t>H3: Non-Adversarial Effects [Work:AX7]</t>
  </si>
  <si>
    <t>H3: SME Rating? [Work:AY7]</t>
  </si>
  <si>
    <t>H3: Impact of Threat Events</t>
  </si>
  <si>
    <t>H4: Impact of Affected Asset</t>
  </si>
  <si>
    <t>F-6: Identification of Predisposing Conditions</t>
  </si>
  <si>
    <t>F4: PREDISPOSING CONDITION - Source of Information</t>
  </si>
  <si>
    <t>F5: Pervasiveness of Condition</t>
  </si>
  <si>
    <t>Table I-5: Template - Adversarial Risk</t>
  </si>
  <si>
    <t>Table I-7: Template - Non-Adversarial Risk</t>
  </si>
  <si>
    <t xml:space="preserve">E5: Threat Event Source of Information </t>
  </si>
  <si>
    <t xml:space="preserve"> E2: Adversarial Threat Event Category [Work:V7]</t>
  </si>
  <si>
    <t xml:space="preserve"> E2: Adversarial Threat Event [Work:W7]</t>
  </si>
  <si>
    <t>D7: Threat Sources of Information</t>
  </si>
  <si>
    <t>D7: Capability</t>
  </si>
  <si>
    <t>D7: Intent</t>
  </si>
  <si>
    <t>D7: Targeting</t>
  </si>
  <si>
    <t>D7: In Scope</t>
  </si>
  <si>
    <t>D8: In Scope</t>
  </si>
  <si>
    <t>D8: Range of Efects</t>
  </si>
  <si>
    <t>D8: Threat Source of Information</t>
  </si>
  <si>
    <t>I5: Threat Source Characteristics</t>
  </si>
  <si>
    <t>I5: Relavance (#6)</t>
  </si>
  <si>
    <t>I5: Capability (#3)</t>
  </si>
  <si>
    <t>I5: Intent (#4)</t>
  </si>
  <si>
    <t>I5: Targeting (#5)</t>
  </si>
  <si>
    <t>I5: Threat Sources (#2)</t>
  </si>
  <si>
    <t>I5: Threat Event (#1)</t>
  </si>
  <si>
    <t>I5: Likelihood of Attack Initiation (#7)</t>
  </si>
  <si>
    <t>I5: Vulnerabilities and Predisposing Conditions (#8)</t>
  </si>
  <si>
    <t>F2: Vulnerability Severity</t>
  </si>
  <si>
    <t xml:space="preserve">Task 2-3: Vulnerability - Source of Information </t>
  </si>
  <si>
    <t>E5: Identification of Threat Events</t>
  </si>
  <si>
    <t xml:space="preserve">Table 2-3: Vulnerability - Source of Information </t>
  </si>
  <si>
    <t>Table F-3: Template - Identification of Vulnerabilites</t>
  </si>
  <si>
    <t>F-3: Identification of Vulnerabilites</t>
  </si>
  <si>
    <t>I5: Severity and Pervasivness (#9)</t>
  </si>
  <si>
    <t>I5: Likelihood Initiated Attack Succeeded (#10)</t>
  </si>
  <si>
    <t>H4: Maximum Impact</t>
  </si>
  <si>
    <t>I5: Level of Impact (#12)</t>
  </si>
  <si>
    <t>I5:   Overall Likelihood (#11)</t>
  </si>
  <si>
    <t>I3: Level of Risk [Work:BB7]</t>
  </si>
  <si>
    <t>I3: Score [Work:BC7]</t>
  </si>
  <si>
    <t>I5: Risk</t>
  </si>
  <si>
    <t>I7: Threat Sources (#2)</t>
  </si>
  <si>
    <t>I7: Range of Effects (#3)</t>
  </si>
  <si>
    <t>I7: Relevance (#4)</t>
  </si>
  <si>
    <t>I7: Likelihood of Event Occuring (#5)</t>
  </si>
  <si>
    <t>F5: Pervasiveness of Predisposing Conditions</t>
  </si>
  <si>
    <t>I7: Vulnerabilities and Predisposing Conditions (#6)</t>
  </si>
  <si>
    <t>I7: Severity and Predisposing Conditions (#7)</t>
  </si>
  <si>
    <t>I7: Severity and Pervasiveness (#7)</t>
  </si>
  <si>
    <t>I7: Overall Likelihood (#9)</t>
  </si>
  <si>
    <t>I7: Level of Impact (#10)</t>
  </si>
  <si>
    <t>I5: Risk (#11)</t>
  </si>
  <si>
    <t>[Identifier]</t>
  </si>
  <si>
    <t>V38</t>
  </si>
  <si>
    <t>Description: Does not apply to Adversarial Threats.</t>
  </si>
  <si>
    <t>$S AKA Col 19</t>
  </si>
  <si>
    <t>Classified National Security Information</t>
  </si>
  <si>
    <t xml:space="preserve"> J.J.Brown, W.T.Longmire; M.A.Ramius; J.B.Pelt</t>
  </si>
  <si>
    <t>Informational (IT) Equipment - Storage</t>
  </si>
  <si>
    <t>Natural or Man Made Disaster - Fire</t>
  </si>
  <si>
    <t>Informational (IT) Equipment - Processing</t>
  </si>
  <si>
    <t>Natural or Man Made Disaster - Flood/Tsumami</t>
  </si>
  <si>
    <t>Informational (IT) Equipment - Communications</t>
  </si>
  <si>
    <t>Natural or Man Made Disaster - Windstorm/Tornado</t>
  </si>
  <si>
    <t>Informational (IT) Equipment - Display</t>
  </si>
  <si>
    <t>Natural or Man Made Disaster - Hurricane</t>
  </si>
  <si>
    <t>Informational (IT) Equipment - Sensor</t>
  </si>
  <si>
    <t>Natural or Man Made Disaster - Earthquake</t>
  </si>
  <si>
    <t>Informational (IT) Equipment - Controller</t>
  </si>
  <si>
    <t>Natural or Man Made Disaster - Bombing</t>
  </si>
  <si>
    <t>Environmental Controls - Temperature/Humidity</t>
  </si>
  <si>
    <t>Natural or Man Made Disaster - Overrun</t>
  </si>
  <si>
    <t>Environmental Controls - Power Supply</t>
  </si>
  <si>
    <t>Infrastruture Failure/Outage - Telecommunications</t>
  </si>
  <si>
    <t>Infrastruture Failure/Outage - Electrical Power</t>
  </si>
  <si>
    <t>IF( OR(         (Adversarial),('D-Tables'!$AK$7='G3'!$C$17) ),"n/a",VALUE(CONCATENATE("0",IF('D-Tables'!$AK$7='G3'!$C$18,3,""),IF('D-Tables'!$AK$7='G3'!$C$19,13,""),IF('D-Tables'!$AK$7='G3'!$C$20,51,""),IF('D-Tables'!$AK$7='G3'!$C$21,88,""),IF('D-Tables'!$AK$7='G3'!$C$22,98,""))))</t>
  </si>
  <si>
    <t>aswa</t>
  </si>
  <si>
    <t>K18</t>
  </si>
  <si>
    <t>K38:J78</t>
  </si>
  <si>
    <t>Mode:</t>
  </si>
  <si>
    <t>TBD</t>
  </si>
  <si>
    <t>G5Ranking</t>
  </si>
  <si>
    <t>G5Score</t>
  </si>
  <si>
    <t>H2: Type of Impact       $D:$22</t>
  </si>
  <si>
    <t>$H:$22</t>
  </si>
  <si>
    <t xml:space="preserve"> Place all completed Risk Register items completed on Line  7 and paste them  below Line 19 (following Heading line below):</t>
  </si>
  <si>
    <t>Damage to current or future ability to achieve national objectives. - 
Harm to national security.</t>
  </si>
  <si>
    <t>Other (Extra)</t>
  </si>
  <si>
    <t>?</t>
  </si>
  <si>
    <t>Organization Definition #1 (Extra )</t>
  </si>
  <si>
    <t>Organization Definition #2 (Extra)</t>
  </si>
  <si>
    <t>Organization Definition #3 (Extra)</t>
  </si>
  <si>
    <t>Organization Definition #4 (Extra)</t>
  </si>
  <si>
    <t>$I AKA Col 10</t>
  </si>
  <si>
    <t>l18</t>
  </si>
  <si>
    <t>W38</t>
  </si>
  <si>
    <t>$t AKA Col 20</t>
  </si>
  <si>
    <t>G2'!Z17</t>
  </si>
  <si>
    <t>$I:$22</t>
  </si>
  <si>
    <t>I3Ranking</t>
  </si>
  <si>
    <t>OFFSET('I2'!$E$35,MATCH(Work!$AQ$7,'I2'!$C$35:$C$39,0)-1,   MATCH(Work!$AY$7,'I2'!$E$33:$I$33,0)-1)</t>
  </si>
  <si>
    <t>I3Score</t>
  </si>
  <si>
    <t>OFFSET($E$23,MATCH(Work!$AQ$7,$C$23:$C$27,0)-1,  MATCH("21-79+  (Moderate)",$E$21:$I$21,0)-1)</t>
  </si>
  <si>
    <t>OFFSET('I2'!$E$23,MATCH(Work!$AQ$7,'I2'!$C$23:$C$27,0)-1,  MATCH(Work!$AQ$7,'I2'!$E$21:$I$21,0)-1)</t>
  </si>
  <si>
    <t>{Example of the Zeroized or Reset state for Input Line #7}</t>
  </si>
  <si>
    <t>Karl Pommer</t>
  </si>
  <si>
    <t>Work Tab</t>
  </si>
  <si>
    <t>Work!$B$7</t>
  </si>
  <si>
    <t>Work!$H$7</t>
  </si>
  <si>
    <r>
      <rPr>
        <b/>
        <u/>
        <sz val="11"/>
        <color theme="1"/>
        <rFont val="Calibri"/>
        <family val="2"/>
        <scheme val="minor"/>
      </rPr>
      <t>Note</t>
    </r>
    <r>
      <rPr>
        <sz val="11"/>
        <color theme="1"/>
        <rFont val="Calibri"/>
        <family val="2"/>
        <scheme val="minor"/>
      </rPr>
      <t>: line 7 mirrows the "work" tab's Line 7.</t>
    </r>
  </si>
  <si>
    <t>Appendix D Table D-1</t>
  </si>
  <si>
    <t>Task 2-3 &amp; F3: Vulnerability - Source of Information</t>
  </si>
  <si>
    <t>https://www.youtube.com/watch?v=Xn7Sd5Uu42A</t>
  </si>
  <si>
    <t>Low (13)</t>
  </si>
  <si>
    <t>Moderate (51)</t>
  </si>
  <si>
    <t>High (88)</t>
  </si>
  <si>
    <t>Very High (98)</t>
  </si>
  <si>
    <t xml:space="preserve"> (98) Very High</t>
  </si>
  <si>
    <t xml:space="preserve"> (88) High</t>
  </si>
  <si>
    <t xml:space="preserve"> (51) Moderate</t>
  </si>
  <si>
    <t xml:space="preserve"> (13) Low </t>
  </si>
  <si>
    <t xml:space="preserve"> (03) Very Low </t>
  </si>
  <si>
    <t>Very Low (03)</t>
  </si>
  <si>
    <t xml:space="preserve">Case 1. </t>
  </si>
  <si>
    <t>Likelihood Threat Event Initiation or Occurrence (TL)</t>
  </si>
  <si>
    <t>Likelihood Threat Events Result in Adverse Impacts (AL)</t>
  </si>
  <si>
    <t>X1</t>
  </si>
  <si>
    <t>X2</t>
  </si>
  <si>
    <t>Average</t>
  </si>
  <si>
    <t>Start Point = Y1</t>
  </si>
  <si>
    <t>Intermediate Point = Y2</t>
  </si>
  <si>
    <t>End Point = Y3</t>
  </si>
  <si>
    <t>Percent from Start = YY</t>
  </si>
  <si>
    <t>Start Point = Z1</t>
  </si>
  <si>
    <t>Intermediate Point = Z2</t>
  </si>
  <si>
    <t>End Point = Z3</t>
  </si>
  <si>
    <t>TL=75 Moderate</t>
  </si>
  <si>
    <t>AL=75 Moderate</t>
  </si>
  <si>
    <t>TL=4 Very Low</t>
  </si>
  <si>
    <t>AL=95 High</t>
  </si>
  <si>
    <t>21-80</t>
  </si>
  <si>
    <t xml:space="preserve">Case 2. </t>
  </si>
  <si>
    <t>0-5</t>
  </si>
  <si>
    <t>80-96</t>
  </si>
  <si>
    <t xml:space="preserve">Case 3. </t>
  </si>
  <si>
    <t>TL= 96 Very High</t>
  </si>
  <si>
    <t>5-21</t>
  </si>
  <si>
    <t>AL=5 Low</t>
  </si>
  <si>
    <t>Case 4.</t>
  </si>
  <si>
    <t>TL= 20 Low</t>
  </si>
  <si>
    <t>AL=20 Low</t>
  </si>
  <si>
    <t>TL= 95 High</t>
  </si>
  <si>
    <t>AL=79 Moderate</t>
  </si>
  <si>
    <t>Case 5.</t>
  </si>
  <si>
    <t xml:space="preserve">0-4+ </t>
  </si>
  <si>
    <t xml:space="preserve">80-95+ </t>
  </si>
  <si>
    <t xml:space="preserve">96-100 </t>
  </si>
  <si>
    <t>x1</t>
  </si>
  <si>
    <t>x2</t>
  </si>
  <si>
    <t>(98) Very High</t>
  </si>
  <si>
    <t>21 &gt;= TL &lt; 80</t>
  </si>
  <si>
    <t>21 &gt;= TA &lt; 80</t>
  </si>
  <si>
    <t>TL           33</t>
  </si>
  <si>
    <t>TA</t>
  </si>
  <si>
    <t>59        TL</t>
  </si>
  <si>
    <t xml:space="preserve">TL           42.5 </t>
  </si>
  <si>
    <t xml:space="preserve"> 16.5       TL</t>
  </si>
  <si>
    <t xml:space="preserve">TL           14  </t>
  </si>
  <si>
    <t>5 = Edge</t>
  </si>
  <si>
    <t>AL</t>
  </si>
  <si>
    <t>5 = Edge (LOW)</t>
  </si>
  <si>
    <t>57 Moderate</t>
  </si>
  <si>
    <t>25 Moderate</t>
  </si>
  <si>
    <t xml:space="preserve"> 80 = Edge</t>
  </si>
  <si>
    <t>77.5        TL</t>
  </si>
  <si>
    <t>63 Moderate</t>
  </si>
  <si>
    <t xml:space="preserve">TL           7.5 </t>
  </si>
  <si>
    <t>14       TL</t>
  </si>
  <si>
    <t>[ 14 Low ]</t>
  </si>
  <si>
    <t>Low --&gt; Moderate</t>
  </si>
  <si>
    <t xml:space="preserve">TL           59  </t>
  </si>
  <si>
    <t>77.5     TL</t>
  </si>
  <si>
    <t>77 Moderate</t>
  </si>
  <si>
    <t>Case 6.</t>
  </si>
  <si>
    <t>Lowest Very Low = 0</t>
  </si>
  <si>
    <t>Lowest Low = 5</t>
  </si>
  <si>
    <t>Highest Very High = 100</t>
  </si>
  <si>
    <t>(15+13)/2 =14</t>
  </si>
  <si>
    <t>(15+51)/2 = 33</t>
  </si>
  <si>
    <t>TL 4 Very Low</t>
  </si>
  <si>
    <t>AL=100 Very High</t>
  </si>
  <si>
    <t>[ 18 Low ]</t>
  </si>
  <si>
    <t>21 = Highest Low</t>
  </si>
  <si>
    <t>80 = Highest Moderate</t>
  </si>
  <si>
    <t>96 = Highest High</t>
  </si>
  <si>
    <t>100 = Highest High</t>
  </si>
  <si>
    <t>Highest Low &lt; 21</t>
  </si>
  <si>
    <t>Highest Moderate &lt; 80</t>
  </si>
  <si>
    <t>Highest High &lt; 96</t>
  </si>
  <si>
    <t>[ 51 Moderate ] #1</t>
  </si>
  <si>
    <t>[ 15 Low ] #2</t>
  </si>
  <si>
    <t>[ 67 Moderate ] #3</t>
  </si>
  <si>
    <t>[ 13 Low ] #4</t>
  </si>
  <si>
    <t>[ 67 Moderqate ] #5</t>
  </si>
  <si>
    <t>[ 67 Moderate ] #5</t>
  </si>
  <si>
    <t>[ 18 Low ] #6</t>
  </si>
  <si>
    <t xml:space="preserve">TL           16.5   </t>
  </si>
  <si>
    <t xml:space="preserve"> 21 = Edge     TL</t>
  </si>
  <si>
    <t>33 Moderate</t>
  </si>
  <si>
    <t>Case 7.</t>
  </si>
  <si>
    <t>[ 18 Low] #7</t>
  </si>
  <si>
    <t xml:space="preserve">TL          Edge = 5    </t>
  </si>
  <si>
    <t xml:space="preserve"> 42.5  TL</t>
  </si>
  <si>
    <t>21 = Edge</t>
  </si>
  <si>
    <t>29 Moderate</t>
  </si>
  <si>
    <t>Highest Very Low &lt; 5</t>
  </si>
  <si>
    <t>Highest  High &lt; 96</t>
  </si>
  <si>
    <t>55.5        TL</t>
  </si>
  <si>
    <t>54 Moderate</t>
  </si>
  <si>
    <t>[ 15 ] #2</t>
  </si>
  <si>
    <t xml:space="preserve">TL           8.5 </t>
  </si>
  <si>
    <t xml:space="preserve"> 16       TL</t>
  </si>
  <si>
    <t>15 Low</t>
  </si>
  <si>
    <t>[ 18 ] #3</t>
  </si>
  <si>
    <t>TL           11</t>
  </si>
  <si>
    <t>46.5       TL</t>
  </si>
  <si>
    <t xml:space="preserve"> 21 = Edge</t>
  </si>
  <si>
    <t>17 Low</t>
  </si>
  <si>
    <t xml:space="preserve">TL           7     </t>
  </si>
  <si>
    <t>[ 60 Moderate ] #5</t>
  </si>
  <si>
    <t>TL          38.5</t>
  </si>
  <si>
    <t>74     TL</t>
  </si>
  <si>
    <t>70 Moderate</t>
  </si>
  <si>
    <t>[ 17 ] #6</t>
  </si>
  <si>
    <t>[ 4 ] #7</t>
  </si>
  <si>
    <t xml:space="preserve">TL          Edge = 0   </t>
  </si>
  <si>
    <t xml:space="preserve"> 11  TL</t>
  </si>
  <si>
    <t>8 Low</t>
  </si>
  <si>
    <t>Average (X1,X2)</t>
  </si>
  <si>
    <t>Line 8:</t>
  </si>
  <si>
    <t>0 to 4+,  Mean = 03</t>
  </si>
  <si>
    <t>5 to 20+, Mean = 13</t>
  </si>
  <si>
    <t>21 to 79+, Mean = 51</t>
  </si>
  <si>
    <t>80 to 95+, Mean = 88</t>
  </si>
  <si>
    <t>96 to 100, Mean = 98</t>
  </si>
  <si>
    <t>0 to 4+, Mean =  03</t>
  </si>
  <si>
    <t>Start Point = X1</t>
  </si>
  <si>
    <t>Intermediate Point = X2</t>
  </si>
  <si>
    <t>End Point = X3</t>
  </si>
  <si>
    <t>Percent from Start = X</t>
  </si>
  <si>
    <t>Percent from Start = Y</t>
  </si>
  <si>
    <t>Likelihood of Threat Event - Initiation or Occurrence (X)</t>
  </si>
  <si>
    <t>Likelihood Threat Events Result in Adverse Impacts (Y)</t>
  </si>
  <si>
    <t>Table G-5: Assessment Scale - Overall Likelihood (Z)</t>
  </si>
  <si>
    <t>X(0 to 100)=</t>
  </si>
  <si>
    <t>Y(0 to 100)=</t>
  </si>
  <si>
    <t>Inputs:</t>
  </si>
  <si>
    <t>Outputs:</t>
  </si>
  <si>
    <t xml:space="preserve"> Converts to:</t>
  </si>
  <si>
    <t>[0,0]</t>
  </si>
  <si>
    <t xml:space="preserve">Y-Index=  </t>
  </si>
  <si>
    <t xml:space="preserve">X(Qualitative)=  </t>
  </si>
  <si>
    <t xml:space="preserve">Y(Qualitative)=  </t>
  </si>
  <si>
    <t>M42</t>
  </si>
  <si>
    <t xml:space="preserve">Z-result =  </t>
  </si>
  <si>
    <t>Basic Algorithm to Determine the Z-value for the Test Qualitative Result using Qualitative Value Inputs:</t>
  </si>
  <si>
    <t xml:space="preserve">X-Index=  </t>
  </si>
  <si>
    <t>M43</t>
  </si>
  <si>
    <t xml:space="preserve">Y-Index(N5)=  </t>
  </si>
  <si>
    <t xml:space="preserve">X-Index(I5)=  </t>
  </si>
  <si>
    <t>Columjn #12</t>
  </si>
  <si>
    <t>Column #0</t>
  </si>
  <si>
    <t>Row #0</t>
  </si>
  <si>
    <t>Row #12</t>
  </si>
  <si>
    <t>ARRAY Start:</t>
  </si>
  <si>
    <t>ARRAY End:</t>
  </si>
  <si>
    <t>E12</t>
  </si>
  <si>
    <t>Q24</t>
  </si>
  <si>
    <t>J1 (Below):</t>
  </si>
  <si>
    <t>J3(Below):</t>
  </si>
  <si>
    <t>K1</t>
  </si>
  <si>
    <t>Start Point =J1</t>
  </si>
  <si>
    <t>End Point = J3</t>
  </si>
  <si>
    <t>Start Point =K1</t>
  </si>
  <si>
    <t>End Point = K3</t>
  </si>
  <si>
    <t>K2 &lt;--Intermediate Point</t>
  </si>
  <si>
    <t>K3</t>
  </si>
  <si>
    <t xml:space="preserve">X-Index(I5):  </t>
  </si>
  <si>
    <t xml:space="preserve">X-min Value =  </t>
  </si>
  <si>
    <t xml:space="preserve">X-max Value &lt;  </t>
  </si>
  <si>
    <t xml:space="preserve">Y-min Value =  </t>
  </si>
  <si>
    <t xml:space="preserve">Y-max Value &lt;  </t>
  </si>
  <si>
    <t xml:space="preserve">Y-Index(I5):  </t>
  </si>
  <si>
    <t>Array Start Cell:</t>
  </si>
  <si>
    <t>Array End Cell:</t>
  </si>
  <si>
    <t>J2 &lt;--Intermediate Point</t>
  </si>
  <si>
    <t xml:space="preserve">Likelihood Threat Event Initiation or Occurrence (X)=  </t>
  </si>
  <si>
    <t xml:space="preserve">Likelihood Threat Events Result in Adverse Impacts (Y) =  </t>
  </si>
  <si>
    <t>Worksheet to Determine the Overall Likelhood as a semi-Qualitative Value (Z)</t>
  </si>
  <si>
    <t xml:space="preserve">Z(Numeric SemiQualitative Result) --&gt;  </t>
  </si>
  <si>
    <t xml:space="preserve">Z(Text Qualitative Result) --&gt;  </t>
  </si>
  <si>
    <t>Level of Impact (Y)</t>
  </si>
  <si>
    <t>Likelihood That a Threat Event Occurs and Results in Adverse Impact (X)</t>
  </si>
  <si>
    <t xml:space="preserve">Likelihood That a Threat Event Occurs and Results in Adverse Impact (X)=  </t>
  </si>
  <si>
    <t xml:space="preserve">Level of Impact (Y) =  </t>
  </si>
  <si>
    <t>Table I2: Assessment Scale: Z = Level of Risk (A Combination of Likelihood and Impact)</t>
  </si>
  <si>
    <t>Overall Level of Risk</t>
  </si>
  <si>
    <t>H72</t>
  </si>
  <si>
    <t>N78</t>
  </si>
  <si>
    <t xml:space="preserve">Z(Numeric SemiQualitative Overall Risk Result) --&gt;  </t>
  </si>
  <si>
    <t>Worksheet to Determine the semi-Qualitative Overall Risk Result (Z)</t>
  </si>
  <si>
    <t>D:</t>
  </si>
  <si>
    <t>E:</t>
  </si>
  <si>
    <t>F:</t>
  </si>
  <si>
    <t>G:</t>
  </si>
  <si>
    <t>H:</t>
  </si>
  <si>
    <t>I:</t>
  </si>
  <si>
    <r>
      <t>28-</t>
    </r>
    <r>
      <rPr>
        <b/>
        <sz val="11"/>
        <color rgb="FFC00000"/>
        <rFont val="Calibri"/>
        <family val="2"/>
        <scheme val="minor"/>
      </rPr>
      <t>E5</t>
    </r>
    <r>
      <rPr>
        <sz val="11"/>
        <color theme="1"/>
        <rFont val="Calibri"/>
        <family val="2"/>
        <scheme val="minor"/>
      </rPr>
      <t>,</t>
    </r>
  </si>
  <si>
    <r>
      <t>25,28_</t>
    </r>
    <r>
      <rPr>
        <b/>
        <sz val="11"/>
        <color rgb="FFC00000"/>
        <rFont val="Calibri"/>
        <family val="2"/>
        <scheme val="minor"/>
      </rPr>
      <t>E5</t>
    </r>
    <r>
      <rPr>
        <sz val="11"/>
        <rFont val="Calibri"/>
        <family val="2"/>
        <scheme val="minor"/>
      </rPr>
      <t>,</t>
    </r>
  </si>
  <si>
    <r>
      <t>34, 38-</t>
    </r>
    <r>
      <rPr>
        <sz val="11"/>
        <color rgb="FFC00000"/>
        <rFont val="Calibri"/>
        <family val="2"/>
        <scheme val="minor"/>
      </rPr>
      <t>F6</t>
    </r>
    <r>
      <rPr>
        <sz val="11"/>
        <color theme="1"/>
        <rFont val="Calibri"/>
        <family val="2"/>
        <scheme val="minor"/>
      </rPr>
      <t>,</t>
    </r>
  </si>
  <si>
    <r>
      <t>25,46-&gt;</t>
    </r>
    <r>
      <rPr>
        <sz val="11"/>
        <color rgb="FFC00000"/>
        <rFont val="Calibri"/>
        <family val="2"/>
        <scheme val="minor"/>
      </rPr>
      <t>I5/7</t>
    </r>
    <r>
      <rPr>
        <sz val="11"/>
        <color theme="1"/>
        <rFont val="Calibri"/>
        <family val="2"/>
        <scheme val="minor"/>
      </rPr>
      <t>,</t>
    </r>
  </si>
  <si>
    <r>
      <t>32,33-</t>
    </r>
    <r>
      <rPr>
        <b/>
        <sz val="11"/>
        <color rgb="FFC00000"/>
        <rFont val="Calibri"/>
        <family val="2"/>
        <scheme val="minor"/>
      </rPr>
      <t>E5</t>
    </r>
    <r>
      <rPr>
        <sz val="11"/>
        <color theme="1"/>
        <rFont val="Calibri"/>
        <family val="2"/>
        <scheme val="minor"/>
      </rPr>
      <t>, 46-&gt;</t>
    </r>
    <r>
      <rPr>
        <sz val="11"/>
        <color rgb="FFC00000"/>
        <rFont val="Calibri"/>
        <family val="2"/>
        <scheme val="minor"/>
      </rPr>
      <t>I5/7</t>
    </r>
    <r>
      <rPr>
        <sz val="11"/>
        <color theme="1"/>
        <rFont val="Calibri"/>
        <family val="2"/>
        <scheme val="minor"/>
      </rPr>
      <t>,</t>
    </r>
  </si>
  <si>
    <r>
      <t>32, 33-</t>
    </r>
    <r>
      <rPr>
        <b/>
        <sz val="11"/>
        <color rgb="FFC00000"/>
        <rFont val="Calibri"/>
        <family val="2"/>
        <scheme val="minor"/>
      </rPr>
      <t>E5</t>
    </r>
    <r>
      <rPr>
        <sz val="11"/>
        <color theme="1"/>
        <rFont val="Calibri"/>
        <family val="2"/>
        <scheme val="minor"/>
      </rPr>
      <t>,46-&gt;</t>
    </r>
    <r>
      <rPr>
        <sz val="11"/>
        <color rgb="FFC00000"/>
        <rFont val="Calibri"/>
        <family val="2"/>
        <scheme val="minor"/>
      </rPr>
      <t>I5/7</t>
    </r>
    <r>
      <rPr>
        <sz val="11"/>
        <color theme="1"/>
        <rFont val="Calibri"/>
        <family val="2"/>
        <scheme val="minor"/>
      </rPr>
      <t>,</t>
    </r>
  </si>
  <si>
    <r>
      <t>28,46-&gt;</t>
    </r>
    <r>
      <rPr>
        <sz val="11"/>
        <color rgb="FFC00000"/>
        <rFont val="Calibri"/>
        <family val="2"/>
        <scheme val="minor"/>
      </rPr>
      <t>I5</t>
    </r>
    <r>
      <rPr>
        <sz val="11"/>
        <color theme="1"/>
        <rFont val="Calibri"/>
        <family val="2"/>
        <scheme val="minor"/>
      </rPr>
      <t>,</t>
    </r>
  </si>
  <si>
    <r>
      <t>27,46-&gt;</t>
    </r>
    <r>
      <rPr>
        <sz val="11"/>
        <color rgb="FFC00000"/>
        <rFont val="Calibri"/>
        <family val="2"/>
        <scheme val="minor"/>
      </rPr>
      <t>I5</t>
    </r>
    <r>
      <rPr>
        <sz val="11"/>
        <color theme="1"/>
        <rFont val="Calibri"/>
        <family val="2"/>
        <scheme val="minor"/>
      </rPr>
      <t>,</t>
    </r>
  </si>
  <si>
    <r>
      <t>32, 33-</t>
    </r>
    <r>
      <rPr>
        <b/>
        <sz val="11"/>
        <color rgb="FFC00000"/>
        <rFont val="Calibri"/>
        <family val="2"/>
        <scheme val="minor"/>
      </rPr>
      <t>E5</t>
    </r>
    <r>
      <rPr>
        <sz val="11"/>
        <color theme="1"/>
        <rFont val="Calibri"/>
        <family val="2"/>
        <scheme val="minor"/>
      </rPr>
      <t>, 46,</t>
    </r>
  </si>
  <si>
    <t>44,46</t>
  </si>
  <si>
    <t>FIPS 199</t>
  </si>
  <si>
    <t>Scale</t>
  </si>
  <si>
    <t>37, Scale</t>
  </si>
  <si>
    <r>
      <t>34-</t>
    </r>
    <r>
      <rPr>
        <sz val="11"/>
        <color rgb="FFC00000"/>
        <rFont val="Calibri"/>
        <family val="2"/>
        <scheme val="minor"/>
      </rPr>
      <t>F6,</t>
    </r>
    <r>
      <rPr>
        <sz val="11"/>
        <rFont val="Calibri"/>
        <family val="2"/>
        <scheme val="minor"/>
      </rPr>
      <t>38-</t>
    </r>
    <r>
      <rPr>
        <sz val="11"/>
        <color rgb="FFC00000"/>
        <rFont val="Calibri"/>
        <family val="2"/>
        <scheme val="minor"/>
      </rPr>
      <t>F6</t>
    </r>
    <r>
      <rPr>
        <sz val="11"/>
        <rFont val="Calibri"/>
        <family val="2"/>
        <scheme val="minor"/>
      </rPr>
      <t>, Scale</t>
    </r>
  </si>
  <si>
    <r>
      <t>40-</t>
    </r>
    <r>
      <rPr>
        <sz val="11"/>
        <color rgb="FFC00000"/>
        <rFont val="Calibri"/>
        <family val="2"/>
        <scheme val="minor"/>
      </rPr>
      <t>G6</t>
    </r>
    <r>
      <rPr>
        <sz val="11"/>
        <color theme="1"/>
        <rFont val="Calibri"/>
        <family val="2"/>
        <scheme val="minor"/>
      </rPr>
      <t>,46-</t>
    </r>
    <r>
      <rPr>
        <sz val="11"/>
        <color rgb="FFC00000"/>
        <rFont val="Calibri"/>
        <family val="2"/>
        <scheme val="minor"/>
      </rPr>
      <t>I2</t>
    </r>
    <r>
      <rPr>
        <sz val="11"/>
        <color theme="1"/>
        <rFont val="Calibri"/>
        <family val="2"/>
        <scheme val="minor"/>
      </rPr>
      <t>,Scale</t>
    </r>
  </si>
  <si>
    <r>
      <t>40-</t>
    </r>
    <r>
      <rPr>
        <sz val="11"/>
        <color rgb="FFC00000"/>
        <rFont val="Calibri"/>
        <family val="2"/>
        <scheme val="minor"/>
      </rPr>
      <t>G6</t>
    </r>
    <r>
      <rPr>
        <sz val="11"/>
        <color theme="1"/>
        <rFont val="Calibri"/>
        <family val="2"/>
        <scheme val="minor"/>
      </rPr>
      <t>,Scale</t>
    </r>
  </si>
  <si>
    <r>
      <t>41-</t>
    </r>
    <r>
      <rPr>
        <sz val="11"/>
        <color rgb="FFC00000"/>
        <rFont val="Calibri"/>
        <family val="2"/>
        <scheme val="minor"/>
      </rPr>
      <t>G6</t>
    </r>
    <r>
      <rPr>
        <sz val="11"/>
        <color theme="1"/>
        <rFont val="Calibri"/>
        <family val="2"/>
        <scheme val="minor"/>
      </rPr>
      <t>,Chart</t>
    </r>
  </si>
  <si>
    <r>
      <t>44,46-</t>
    </r>
    <r>
      <rPr>
        <sz val="11"/>
        <color rgb="FFC00000"/>
        <rFont val="Calibri"/>
        <family val="2"/>
        <scheme val="minor"/>
      </rPr>
      <t>I2, Scale</t>
    </r>
  </si>
  <si>
    <t>46, Chart</t>
  </si>
  <si>
    <t>(I5)</t>
  </si>
  <si>
    <t>(I7)</t>
  </si>
  <si>
    <r>
      <t xml:space="preserve">33 </t>
    </r>
    <r>
      <rPr>
        <b/>
        <sz val="11"/>
        <color rgb="FFC00000"/>
        <rFont val="Calibri"/>
        <family val="2"/>
        <scheme val="minor"/>
      </rPr>
      <t>Summary</t>
    </r>
  </si>
  <si>
    <r>
      <t xml:space="preserve">40 </t>
    </r>
    <r>
      <rPr>
        <sz val="11"/>
        <color rgb="FFC00000"/>
        <rFont val="Calibri"/>
        <family val="2"/>
        <scheme val="minor"/>
      </rPr>
      <t>Summary</t>
    </r>
  </si>
  <si>
    <r>
      <t xml:space="preserve">46 </t>
    </r>
    <r>
      <rPr>
        <sz val="11"/>
        <color rgb="FFC00000"/>
        <rFont val="Calibri"/>
        <family val="2"/>
        <scheme val="minor"/>
      </rPr>
      <t>Summary</t>
    </r>
  </si>
  <si>
    <r>
      <t xml:space="preserve">34, 38, </t>
    </r>
    <r>
      <rPr>
        <sz val="11"/>
        <color rgb="FFC00000"/>
        <rFont val="Calibri"/>
        <family val="2"/>
        <scheme val="minor"/>
      </rPr>
      <t>Summary</t>
    </r>
  </si>
  <si>
    <r>
      <t xml:space="preserve">37 </t>
    </r>
    <r>
      <rPr>
        <b/>
        <sz val="11"/>
        <color rgb="FFC00000"/>
        <rFont val="Calibri"/>
        <family val="2"/>
        <scheme val="minor"/>
      </rPr>
      <t>Summary</t>
    </r>
  </si>
  <si>
    <t>Calculated Cell Results Using Mean Values</t>
  </si>
  <si>
    <t>Row($I$82) =</t>
  </si>
  <si>
    <t>Column($I$83) =</t>
  </si>
  <si>
    <t>Row($I$82,2)=</t>
  </si>
  <si>
    <t>Column($I$83,2)=</t>
  </si>
  <si>
    <t>J=</t>
  </si>
  <si>
    <t>K=</t>
  </si>
  <si>
    <t>Row($H$82,J)=</t>
  </si>
  <si>
    <t>Column($H$83,K)=</t>
  </si>
  <si>
    <t>Very Low (4) --&gt; Low (15.3)</t>
  </si>
  <si>
    <t>Low (18) --&gt; Moderate (44.6)</t>
  </si>
  <si>
    <t>75 --&gt; 79.6</t>
  </si>
  <si>
    <t>91 --&gt; 93.9</t>
  </si>
  <si>
    <t>100 --&gt; 99.3</t>
  </si>
  <si>
    <t>Very Low (3) --&gt; Low (11.9)</t>
  </si>
  <si>
    <t>Low (17) --&gt; Moderate (34.6)</t>
  </si>
  <si>
    <t>60 --&gt; 65.0</t>
  </si>
  <si>
    <t>88 --&gt; 83.4</t>
  </si>
  <si>
    <t>99 --&gt; 96.4</t>
  </si>
  <si>
    <t>Very Low (2) --&gt; Low ( 5.2)</t>
  </si>
  <si>
    <t>15 --&gt; 19.8</t>
  </si>
  <si>
    <t>51 --&gt; 45.3</t>
  </si>
  <si>
    <t>60 --&gt; 62.6</t>
  </si>
  <si>
    <t>88 --&gt; 85.3</t>
  </si>
  <si>
    <t>Very Low (1) --&gt; Low ( 2.8)</t>
  </si>
  <si>
    <t>13 --&gt; 10.6</t>
  </si>
  <si>
    <t>Low (15) --&gt; Moderate (22.3)</t>
  </si>
  <si>
    <t>Low (17) --&gt; Moderate (37.8)</t>
  </si>
  <si>
    <t>60 --&gt; 63.2</t>
  </si>
  <si>
    <t>0 --&gt; 0.8</t>
  </si>
  <si>
    <t>1 --&gt; 4.4</t>
  </si>
  <si>
    <t>Very Low (2) --&gt;  Low (8.6)</t>
  </si>
  <si>
    <t>15 --&gt; 13.2</t>
  </si>
  <si>
    <t>17 --&gt; 20.5</t>
  </si>
  <si>
    <t>Low (18) --&gt; Moderate (21.6)</t>
  </si>
  <si>
    <t>67 --&gt; 64.9</t>
  </si>
  <si>
    <t>88--&gt; 86</t>
  </si>
  <si>
    <t>97 --&gt; 95.6</t>
  </si>
  <si>
    <t>98 --&gt; 98.8</t>
  </si>
  <si>
    <t>15 --&gt; 17.3</t>
  </si>
  <si>
    <t>51 --&gt; 46</t>
  </si>
  <si>
    <t>67 --&gt; 68.3</t>
  </si>
  <si>
    <t>88 --&gt; 85</t>
  </si>
  <si>
    <t>Very High (97) --&gt; High (95.6)</t>
  </si>
  <si>
    <t>13 --&gt; 10.5</t>
  </si>
  <si>
    <t>Low (15) --&gt; Moderate (23.6)</t>
  </si>
  <si>
    <t>51 --&gt; 46.2</t>
  </si>
  <si>
    <t>88 --&gt; 86</t>
  </si>
  <si>
    <t>2 --&gt; 4.5</t>
  </si>
  <si>
    <t>13 --&gt; 10.8</t>
  </si>
  <si>
    <t>51 --&gt;46</t>
  </si>
  <si>
    <t>1 --&gt; 0.9</t>
  </si>
  <si>
    <t>K=1</t>
  </si>
  <si>
    <t>K=7</t>
  </si>
  <si>
    <t>J=1</t>
  </si>
  <si>
    <t>J=7</t>
  </si>
  <si>
    <t>Row($H$82) =</t>
  </si>
  <si>
    <t>Column($H$83) =</t>
  </si>
  <si>
    <t>J82</t>
  </si>
  <si>
    <t>H82</t>
  </si>
  <si>
    <t>Row($H$82,2)=</t>
  </si>
  <si>
    <t>Column($H$83,2)=</t>
  </si>
  <si>
    <t>J = 1</t>
  </si>
  <si>
    <t>J = 7</t>
  </si>
  <si>
    <t>Low_</t>
  </si>
  <si>
    <t>Moderate_</t>
  </si>
  <si>
    <t>Very Low_</t>
  </si>
  <si>
    <t>High_</t>
  </si>
  <si>
    <t>Very High_</t>
  </si>
  <si>
    <t>L88</t>
  </si>
  <si>
    <t>x=0</t>
  </si>
  <si>
    <t>y=0</t>
  </si>
  <si>
    <t>X=0</t>
  </si>
  <si>
    <t>Y=0</t>
  </si>
  <si>
    <t>Work!$L$7</t>
  </si>
  <si>
    <t>&lt;SNIP…..&gt;</t>
  </si>
  <si>
    <t>Note the formula options below (max, min, weighted average; etc.).</t>
  </si>
  <si>
    <t>Weighted Average</t>
  </si>
  <si>
    <t>Likelihood A</t>
  </si>
  <si>
    <t>Likelihood B</t>
  </si>
  <si>
    <t>How To calculate Weighted Averages in Excel</t>
  </si>
  <si>
    <t>https://www.youtube.com/watch?v=8lvaV0af2CU</t>
  </si>
  <si>
    <t>https://www.excel-easy.com/examples/weighted-average.html</t>
  </si>
  <si>
    <t>Scores:</t>
  </si>
  <si>
    <t>Weights:</t>
  </si>
  <si>
    <t>Example:</t>
  </si>
  <si>
    <t>Weighted Average=</t>
  </si>
  <si>
    <t xml:space="preserve">Weight </t>
  </si>
  <si>
    <t>(i) MinValue</t>
  </si>
  <si>
    <t>(ii) MaxValue</t>
  </si>
  <si>
    <t>(v) WeightedAvg</t>
  </si>
  <si>
    <t>Likelihood C</t>
  </si>
  <si>
    <t>wRMS</t>
  </si>
  <si>
    <t>Proposed Rule</t>
  </si>
  <si>
    <t>( (20 x 1) + (40 x 2) + (90 x 4) )/ (1 + 2 + 4) = 65.71</t>
  </si>
  <si>
    <t>Weighted Avg=</t>
  </si>
  <si>
    <t>21 to 79+</t>
  </si>
  <si>
    <t>5 to 20+</t>
  </si>
  <si>
    <t>80to 95+</t>
  </si>
  <si>
    <t>Qualitative Results</t>
  </si>
  <si>
    <t>Task 2-4: Likelihood Formula Options</t>
  </si>
  <si>
    <t>Row</t>
  </si>
  <si>
    <t>SQRT(($AF$100*$AF$100*$AG$100/100+$AH$100*$AH$100*$AI$100/100+$AJ$100*$AJ$100*$AK$100/100)/ (SUM( $AG$100 * IF(AND(IF($AG$100&gt;0,1,0), IF($AG$100&lt;=100,1,0)),1,0),  $AI$100 * IF(AND(IF($AI$100&gt;0,1,0), IF($AI$100&lt;=100,1,0)),1,0),   $AK$100 * IF(AND(IF($AK$100&gt;0,1,0), IF($AK$100&lt;=100,1,0)),1,0) )/100) )</t>
  </si>
  <si>
    <t>(($AF$101*$AG$101)+($AH$101*$AI$101)+($AJ$101*$AK$101))/($AG$101+$AI$101+$AK$101)</t>
  </si>
  <si>
    <t>AF</t>
  </si>
  <si>
    <t>AG</t>
  </si>
  <si>
    <t>AH</t>
  </si>
  <si>
    <t>AI</t>
  </si>
  <si>
    <t>AJ</t>
  </si>
  <si>
    <t>AK</t>
  </si>
  <si>
    <t>Likelihood Threat Events Result in Adverse Impacts (X)</t>
  </si>
  <si>
    <t>High (FIPS 199)</t>
  </si>
  <si>
    <t xml:space="preserve">Semi-Qualitative Value Number Range </t>
  </si>
  <si>
    <t>Qualitatative vs 
Semi-Qualitative Values</t>
  </si>
  <si>
    <t>21,22,23,24,25</t>
  </si>
  <si>
    <t>26,27,28,29,30</t>
  </si>
  <si>
    <t>31,32,33,34,35</t>
  </si>
  <si>
    <t>36,37,38,39,40</t>
  </si>
  <si>
    <t>41,42,43,44,45</t>
  </si>
  <si>
    <t>46,47,48,49,50</t>
  </si>
  <si>
    <t>56,57,58,59,60</t>
  </si>
  <si>
    <t>61,62,63,64,65</t>
  </si>
  <si>
    <t>66,67,68,69,70</t>
  </si>
  <si>
    <t>71,72,73,74,75</t>
  </si>
  <si>
    <t>76,77,78,79,80</t>
  </si>
  <si>
    <t>5,6</t>
  </si>
  <si>
    <t>7,8</t>
  </si>
  <si>
    <t>9,10</t>
  </si>
  <si>
    <t>11,12</t>
  </si>
  <si>
    <r>
      <t>13,</t>
    </r>
    <r>
      <rPr>
        <sz val="14"/>
        <color theme="1"/>
        <rFont val="Calibri"/>
        <family val="2"/>
        <scheme val="minor"/>
      </rPr>
      <t>14</t>
    </r>
  </si>
  <si>
    <t>15,16</t>
  </si>
  <si>
    <t>17,18</t>
  </si>
  <si>
    <t>19,20</t>
  </si>
  <si>
    <t>80,81</t>
  </si>
  <si>
    <t>82,83</t>
  </si>
  <si>
    <t>84,85</t>
  </si>
  <si>
    <t>86,87</t>
  </si>
  <si>
    <r>
      <t>88,</t>
    </r>
    <r>
      <rPr>
        <sz val="14"/>
        <color theme="1"/>
        <rFont val="Calibri"/>
        <family val="2"/>
        <scheme val="minor"/>
      </rPr>
      <t>89</t>
    </r>
  </si>
  <si>
    <t>90,91</t>
  </si>
  <si>
    <t>92,93</t>
  </si>
  <si>
    <t>94,95</t>
  </si>
  <si>
    <r>
      <rPr>
        <b/>
        <sz val="14"/>
        <color theme="1"/>
        <rFont val="Calibri"/>
        <family val="2"/>
        <scheme val="minor"/>
      </rPr>
      <t>51,</t>
    </r>
    <r>
      <rPr>
        <sz val="14"/>
        <color theme="1"/>
        <rFont val="Calibri"/>
        <family val="2"/>
        <scheme val="minor"/>
      </rPr>
      <t>52,53,54,55</t>
    </r>
  </si>
  <si>
    <t>Weight (0 to 100)</t>
  </si>
  <si>
    <t xml:space="preserve">Likelihood Threat Events Result in Adverse Impacts (Y) </t>
  </si>
  <si>
    <t>Algorithm :</t>
  </si>
  <si>
    <t>Date:</t>
  </si>
  <si>
    <t>Facilitator:</t>
  </si>
  <si>
    <t>ID_Number:</t>
  </si>
  <si>
    <t>Key Subject Matter Experts:</t>
  </si>
  <si>
    <t>[Algorithm]</t>
  </si>
  <si>
    <t>Weighted RMS</t>
  </si>
  <si>
    <t>Weighted Avg</t>
  </si>
  <si>
    <t xml:space="preserve">Table D-7 :
Table D-8: </t>
  </si>
  <si>
    <t xml:space="preserve">D7: Calculated Overall SME Rating </t>
  </si>
  <si>
    <t xml:space="preserve">D8: Calculated Overall SME Rating </t>
  </si>
  <si>
    <t>D4: Weight (0 to 100)</t>
  </si>
  <si>
    <t>D3: Weight (0 to 100)</t>
  </si>
  <si>
    <t>D5: Weight (0 to 100)</t>
  </si>
  <si>
    <t>D3'!H7:H8</t>
  </si>
  <si>
    <t>Referenced values from the Work Tab:</t>
  </si>
  <si>
    <t>D4'!H7:H8</t>
  </si>
  <si>
    <t>D5'!H7:H8</t>
  </si>
  <si>
    <t>D6'!H7:H8</t>
  </si>
  <si>
    <t>D3: Adversarial Capability [Work!$M$7]</t>
  </si>
  <si>
    <t>D2: Type of Threat Sources [Work!$J$7]</t>
  </si>
  <si>
    <t>D2: Threat Source Characteristics [Work!$K$7]</t>
  </si>
  <si>
    <t>D3: SME Rating? [Work:N7]</t>
  </si>
  <si>
    <t>Description: (FIPS 199 Low) The threat event could be expected to have a limited adverse effect on organizational operations, organizational assets, individuals other organizations, or the Nation. A limited adverse effect means that, for example, the threat event might: (i) cause a degradation in mission capability to an extent and duration that the organization is able to perform its primary functions, but the effectiveness of the functions is noticeably reduced; (ii) result in minor damage to organizational assets; (iii) result in minor financial loss; or (iv) result in minor harm to individuals.</t>
  </si>
  <si>
    <t>Description: (FIPS 199 Moderate) The threat event could be expected to have a serious adverse effect on organizational operations, organizational assets, individuals other organizations, or the Nation. A serious adverse effect means that, for example, the threat event might: (i) cause a significant degradation in mission capability to an extent and duration that the organization is able to perform its primary functions, but the effectiveness of the functions is significantly reduced; (ii) result in significant damage to organizational assets; (iii) result in significant financial loss; or (iv) result in significant harm to individuals that does not involve loss of life or serious life-threatening injuries.</t>
  </si>
  <si>
    <t>Description: (FIPS 199 High) The threat event could be expected to have a severe or catastrophic adverse effect on organizational operations, organizational assets, individuals, other organizations, or the Nation. A severe or catastrophic adverse effect means that, for example, the threat event might: (i) cause a severe degradation in or loss of mission capability to an extent and duration that the organization is not able to perform one or more of its primary functions; (ii) result in major damage to organizational assets; (iii) result in major financial loss; or (iv) result in severe or catastrophic harm to individuals involving loss of life or serious life-threatening injuries.</t>
  </si>
  <si>
    <t>I5: Threat Event (Column #1)</t>
  </si>
  <si>
    <t>I5: Threat Sources (Column #2)</t>
  </si>
  <si>
    <t>I5: Capability (Column #3)</t>
  </si>
  <si>
    <t>I5: Intent (Column #4)</t>
  </si>
  <si>
    <t>I5: Targeting (Column #5)</t>
  </si>
  <si>
    <t>I5: Relavance (Column #6)</t>
  </si>
  <si>
    <t>I5: Likelihood of Attack Initiation (Column #7)</t>
  </si>
  <si>
    <t>I5: Vulnerabilities and Predisposing Conditions (Column #8)</t>
  </si>
  <si>
    <t>I5: Severity and Pervasivness (Column #9)</t>
  </si>
  <si>
    <t>I5: Likelihood Initiated Attack Succeeded (Column #10)</t>
  </si>
  <si>
    <t>I5:   Overall Likelihood (Column #11)</t>
  </si>
  <si>
    <t>I5: Level of Impact (Column #12)</t>
  </si>
  <si>
    <t>I7: Threat Event (Column #1)</t>
  </si>
  <si>
    <t>I7: Threat Sources (Column #2)</t>
  </si>
  <si>
    <t>I7: Relevance (Column #4)</t>
  </si>
  <si>
    <t>I7: Likelihood of Event Occuring (Column #5)</t>
  </si>
  <si>
    <t>I7: Vulnerabilities and Predisposing Conditions (Column #6)</t>
  </si>
  <si>
    <t>I7: Severity and Predisposing Conditions (Column #7)</t>
  </si>
  <si>
    <t>I7: Overall Likelihood (Column #9)</t>
  </si>
  <si>
    <t>I7: Level of Impact (Column #10)</t>
  </si>
  <si>
    <t>I5: Risk (Column #11)</t>
  </si>
  <si>
    <t>'D2'!B22:B27</t>
  </si>
  <si>
    <t>Threat Description:</t>
  </si>
  <si>
    <t>Description: To be Determined. This threat source not not yet been defined.</t>
  </si>
  <si>
    <t>D: In Scope:</t>
  </si>
  <si>
    <t>D: In Scope</t>
  </si>
  <si>
    <t>F3: Vulnerability Severity</t>
  </si>
  <si>
    <t>F5: Pervasiveness of Predisposing Condition</t>
  </si>
  <si>
    <t>I7:  Likelihood of Threat Event Resulting in Adverse Impacts (Column #8)</t>
  </si>
  <si>
    <t>I2: Qualitative Result</t>
  </si>
  <si>
    <t>I2: Qualitative Method</t>
  </si>
  <si>
    <t>H2: Adverse Impact</t>
  </si>
  <si>
    <t>I3: Semi-Qualitative Result</t>
  </si>
  <si>
    <t>I3: Equivalent Qualitative Result</t>
  </si>
  <si>
    <t>I2 &amp; I3: Qualitative Level of Risk for Likelihood &amp; Impact</t>
  </si>
  <si>
    <t xml:space="preserve"> I3: Semi-Qualitative Method</t>
  </si>
  <si>
    <t>`</t>
  </si>
  <si>
    <t>E5: Relevance</t>
  </si>
  <si>
    <t>F-6: Predisposing Conditions Source of Information</t>
  </si>
  <si>
    <t>H4: Identification of Affected Asset</t>
  </si>
  <si>
    <t>I5: Adversarial Risk (Column #13)</t>
  </si>
  <si>
    <t>G4@Work!AU7</t>
  </si>
  <si>
    <t>G5@Work!AV7</t>
  </si>
  <si>
    <t>G5@Work!AW7</t>
  </si>
  <si>
    <t>G5@Work!AX7</t>
  </si>
  <si>
    <t>G5: Qualitative Result</t>
  </si>
  <si>
    <t>G5: Semi-Qualitative Result</t>
  </si>
  <si>
    <t>G5: Equivalent Qualitative Result</t>
  </si>
  <si>
    <t>G4[Work!AU7]</t>
  </si>
  <si>
    <t>H3 [Work@BC7]</t>
  </si>
  <si>
    <t>I3[Work!BG7]</t>
  </si>
  <si>
    <t>I3[Work!BH7]</t>
  </si>
  <si>
    <t>Karl Pommer (Author)</t>
  </si>
  <si>
    <t>Scope:</t>
  </si>
  <si>
    <t>Information System</t>
  </si>
  <si>
    <t>Overall Likelihood 
(Task 2-4)</t>
  </si>
  <si>
    <t>Algorithm:</t>
  </si>
  <si>
    <t>Assumptions / Constraints:</t>
  </si>
  <si>
    <t>Purpose (Reference / Comment):</t>
  </si>
  <si>
    <t>Know human error and coverup capability</t>
  </si>
  <si>
    <t>G3: Non-Adversarial Threat Occurrence</t>
  </si>
  <si>
    <t>at 33 Relavance --&gt;Likelyhood</t>
  </si>
  <si>
    <t>at 38 Extra notes on Predisposing conditions</t>
  </si>
  <si>
    <t>at 44 Risk is a function of likelyhood and impact.</t>
  </si>
  <si>
    <t>Line 9:</t>
  </si>
  <si>
    <t>Type of Threat Sources</t>
  </si>
  <si>
    <t>Adversarial Capability</t>
  </si>
  <si>
    <t>Adversarial Intent</t>
  </si>
  <si>
    <t>Adversarial Targeting</t>
  </si>
  <si>
    <t xml:space="preserve"> [Work!$L$8]</t>
  </si>
  <si>
    <t xml:space="preserve"> [Work!$M$8]</t>
  </si>
  <si>
    <t xml:space="preserve"> [Work!$O$8]</t>
  </si>
  <si>
    <t xml:space="preserve"> [Work!$P$8]</t>
  </si>
  <si>
    <t xml:space="preserve"> [Work!$R$8]</t>
  </si>
  <si>
    <t>[Work!Q8]</t>
  </si>
  <si>
    <t xml:space="preserve"> [Work!$S$8]</t>
  </si>
  <si>
    <t>Weight  (0 to 100)</t>
  </si>
  <si>
    <t>[Work!T8]</t>
  </si>
  <si>
    <t xml:space="preserve"> [Work!$U$8]</t>
  </si>
  <si>
    <t xml:space="preserve"> [Work!$V$8]</t>
  </si>
  <si>
    <t>[Work!W8]</t>
  </si>
  <si>
    <t>[Work!K8]</t>
  </si>
  <si>
    <t>[Work!Z8]</t>
  </si>
  <si>
    <t>[Work!$J$8]</t>
  </si>
  <si>
    <t xml:space="preserve">Threat Source Characteristics </t>
  </si>
  <si>
    <t>Non-Adversarial Effects</t>
  </si>
  <si>
    <t>[Work!$B$8]</t>
  </si>
  <si>
    <r>
      <rPr>
        <b/>
        <u/>
        <sz val="11"/>
        <color theme="1"/>
        <rFont val="Calibri"/>
        <family val="2"/>
        <scheme val="minor"/>
      </rPr>
      <t>Note</t>
    </r>
    <r>
      <rPr>
        <sz val="11"/>
        <color theme="1"/>
        <rFont val="Calibri"/>
        <family val="2"/>
        <scheme val="minor"/>
      </rPr>
      <t>: line 8 mirrows the "work" tab's Line 7.</t>
    </r>
  </si>
  <si>
    <t>[Work!$M$8]</t>
  </si>
  <si>
    <t>[Work!$N$8]</t>
  </si>
  <si>
    <t xml:space="preserve"> [Work!$X$8]</t>
  </si>
  <si>
    <t xml:space="preserve"> [Work!$Y$8]</t>
  </si>
  <si>
    <t xml:space="preserve"> [Work!Z8]</t>
  </si>
  <si>
    <t>E2: Adversarial Threat Event Category</t>
  </si>
  <si>
    <t>E2: Adversarial Threat Event</t>
  </si>
  <si>
    <t xml:space="preserve"> [Work!$AB$8]</t>
  </si>
  <si>
    <t xml:space="preserve"> [Work!$AC$8]</t>
  </si>
  <si>
    <t xml:space="preserve"> [Work!$AD$8]</t>
  </si>
  <si>
    <t>D2: Type of Threat Sources</t>
  </si>
  <si>
    <t>D2: Threat Source Characteristics</t>
  </si>
  <si>
    <t>[Work!$Q$8]</t>
  </si>
  <si>
    <t>[Work!$T$8]</t>
  </si>
  <si>
    <t xml:space="preserve">D5: SME Rating? </t>
  </si>
  <si>
    <t>[Work!$W$8]</t>
  </si>
  <si>
    <t xml:space="preserve">D2: Threat Source Characteristics </t>
  </si>
  <si>
    <t xml:space="preserve"> [Work!$W$8]</t>
  </si>
  <si>
    <t>Table D8: IDENTIFICATION OF NON-ADVERSARIAL THREAT SOURCES</t>
  </si>
  <si>
    <t>Table D7: IDENTIFICATION OF ADVERSARIAL THREAT SOURCES</t>
  </si>
  <si>
    <t>Description: 
Natural disasters and failures of critical infrastructures on which the organization depends, but which are outside the control of the organization.   Note: Natural and man-made disasters can also be characterized in terms of their severity and/or duration. However, because the threat source and the threat event are strongly identified, severity and duration can be included in the description of the threat event (e.g., Category 5 hurricane causes extensive damage to the facilities housing mission-critical systems, making those systems unavailable for three weeks).</t>
  </si>
  <si>
    <t>Description: 
To be Determined. This threat source not not yet been defined.</t>
  </si>
  <si>
    <t>Description: 
Failures of equipment, environmental controls, or software due to aging, resource depletion, or other circumstances which exceed expected operating parameters.</t>
  </si>
  <si>
    <t>Description: 
Erroneous actions taken by individuals in the course of executing their everyday responsibilities</t>
  </si>
  <si>
    <t>Description: 
Individuals, groups, organizations, or states that seek to exploit the organization’s dependence on cyber resources (i.e., information in electronic form, information and communications technologies, and the communications and information-handling capabilities provided by those technologies). Notable characteristics include Cability, Intent and Targeting.</t>
  </si>
  <si>
    <t>Threat Source Type</t>
  </si>
  <si>
    <t>Threat Source Subtype</t>
  </si>
  <si>
    <t>D2: Threat Source Type</t>
  </si>
  <si>
    <t>D2: Threat Source Subtype</t>
  </si>
  <si>
    <t>[Work!$V$8]</t>
  </si>
  <si>
    <t>Description: 
The effects of the error, accident, or act of nature are minimal, involving few if any of the cyber resources of the [Tier 3: information systems; Tier 2: mission/business processes or EA segments, common infrastructure, or support services; Tier 1: organization/governance structure], and involving no critical resources.</t>
  </si>
  <si>
    <t>Description: 
The effects of the error, accident, or act of nature are limited, involving some of the cyber resources of the [Tier 3: information systems; Tier 2: mission/business processes or EA segments, common infrastructure, or support services; Tier 1: organization/governance structure], but involving no critical resources.</t>
  </si>
  <si>
    <t>Description: 
The effects of the error, accident, or act of nature are wide-ranging, involving a significant portion of the cyber resources of the [Tier 3: information systems; Tier 2: mission/business processes or EA segments, common infrastructure, or support services; Tier 1: organization/governance structure], including some critical resources.</t>
  </si>
  <si>
    <t>Description: 
The effects of the error, accident, or act of nature are extensive, involving most of the cyber resources of the [Tier 3: information systems; Tier 2: mission/business processes or EA segments, common infrastructure, or support services; Tier 1: organization/governance structure], including many critical resources.</t>
  </si>
  <si>
    <t>Description: 
The effects of the error, accident, or act of nature are sweeping, involving almost all of the cyber resources of the [Tier 3: information systems; Tier 2: mission/business processes or EA segments, common infrastructure, or support services; Tier 1: organization/governance structure].</t>
  </si>
  <si>
    <t>Help:  
Select an [Adversarial Capability] and then accept /change the [SME Rating?] value</t>
  </si>
  <si>
    <t>Description: 
The adversary seeks to usurp, disrupt, or deface the organization’s cyber resources, and does so without concern about attack detection/disclosure of tradecraft.</t>
  </si>
  <si>
    <t>Description: 
The adversary actively seeks to obtain critical or sensitive information or to usurp/disrupt the organization’s cyber resources, and does so without concern about attack detection/disclosure of tradecraft.</t>
  </si>
  <si>
    <t>Description: 
The adversary seeks to obtain or modify specific critical or sensitive information or usurp/disrupt the organization’s cyber resources by establishing a foothold in the organization’s information systems or infrastructure. The adversary is concerned about minimizing attack detection/disclosure of tradecraft, particularly when carrying out attacks over long time periods. The adversary is willing to impede aspects of the organization’s missions/business functions to achieve these ends.</t>
  </si>
  <si>
    <t>Description: 
The adversary seeks to undermine/impede critical aspects of a core mission or business function, program, or enterprise, or place itself in a position to do so in the future, by maintaining a presence in the organization’s information systems or infrastructure. The adversary is very concerned about minimizing attack detection/disclosure of tradecraft, particularly while preparing for future attacks.</t>
  </si>
  <si>
    <t>Description: 
The adversary seeks to undermine, severely impede, or destroy a core mission or business function, program, or enterprise by exploiting a presence in the organization’s information systems or infrastructure. The adversary is concerned about disclosure of tradecraft only to the extent that it would impede its ability to complete stated goals.</t>
  </si>
  <si>
    <t>Description: 
The adversary may or may not target any specific organizations or classes of organizations.</t>
  </si>
  <si>
    <t>Description: 
The adversary uses publicly available information to target a class of high-value organizations or information, and seeks targets of opportunity within that class.</t>
  </si>
  <si>
    <t>Description: 
The adversary analyzes publicly available information to target persistently specific high-value organizations (and key positions, such as Chief Information Officer), programs, or information.</t>
  </si>
  <si>
    <t>Description: 
The adversary analyzes information obtained via reconnaissance to target persistently a specific organization, enterprise, program, mission or business function, focusing on specific high-value or mission-critical information, resources, supply flows, or functions, specific employees supporting those functions, or key positions.</t>
  </si>
  <si>
    <t>Description: 
The adversary analyzes information obtained via reconnaissance and attacks to target persistently a specific organization, enterprise, program, mission or business function, focusing on specific high-value or mission-critical information, resources, supply flows, or functions; specific employees or positions; supporting infrastructure providers/suppliers; or partnering organizations.</t>
  </si>
  <si>
    <t>Excel</t>
  </si>
  <si>
    <t>Excel Line 8:</t>
  </si>
  <si>
    <r>
      <rPr>
        <b/>
        <u/>
        <sz val="11"/>
        <color theme="1"/>
        <rFont val="Calibri"/>
        <family val="2"/>
        <scheme val="minor"/>
      </rPr>
      <t>Note</t>
    </r>
    <r>
      <rPr>
        <sz val="11"/>
        <color theme="1"/>
        <rFont val="Calibri"/>
        <family val="2"/>
        <scheme val="minor"/>
      </rPr>
      <t>: line 8 mirrows the "work" tab's Line 8.</t>
    </r>
  </si>
  <si>
    <t xml:space="preserve">E5: Adversarial Threat Events </t>
  </si>
  <si>
    <t>E5: Threat Source</t>
  </si>
  <si>
    <t>Tables D7 &amp; D8</t>
  </si>
  <si>
    <t>[Work!AE8]</t>
  </si>
  <si>
    <t>[Work!AF8]</t>
  </si>
  <si>
    <t xml:space="preserve">E5: Threat Event Relevance </t>
  </si>
  <si>
    <r>
      <rPr>
        <b/>
        <u/>
        <sz val="11"/>
        <color theme="1"/>
        <rFont val="Calibri"/>
        <family val="2"/>
        <scheme val="minor"/>
      </rPr>
      <t>Note</t>
    </r>
    <r>
      <rPr>
        <b/>
        <sz val="11"/>
        <color theme="1"/>
        <rFont val="Calibri"/>
        <family val="2"/>
        <scheme val="minor"/>
      </rPr>
      <t>: line 8 mirrows the "work" tab's Line 8.</t>
    </r>
  </si>
  <si>
    <t>Work:B8</t>
  </si>
  <si>
    <t>Work:J8</t>
  </si>
  <si>
    <t>[Work:B8]</t>
  </si>
  <si>
    <t xml:space="preserve">F2:Vulnerability Severity </t>
  </si>
  <si>
    <t>[Work:AI8]</t>
  </si>
  <si>
    <t>[Work:AH8]</t>
  </si>
  <si>
    <t xml:space="preserve">F2: SME Rating </t>
  </si>
  <si>
    <t>[Work:AJ8]</t>
  </si>
  <si>
    <t>[Work:J8]</t>
  </si>
  <si>
    <t>F4: PREDISPOSING CONDITION Category</t>
  </si>
  <si>
    <t>F3: Vulnerability Source of Information</t>
  </si>
  <si>
    <t>F6: Identifier:</t>
  </si>
  <si>
    <t>F3: Identifier:</t>
  </si>
  <si>
    <t>F6: Pervasiveness of Condition</t>
  </si>
  <si>
    <t xml:space="preserve"> [Work!AM7]</t>
  </si>
  <si>
    <t>[Work!AN7]</t>
  </si>
  <si>
    <t xml:space="preserve">F5: SME Rating? </t>
  </si>
  <si>
    <t>F4: PREDISPOSING CONDITION</t>
  </si>
  <si>
    <t>[Work!AL8]:</t>
  </si>
  <si>
    <t xml:space="preserve"> [Work!AK8]</t>
  </si>
  <si>
    <t xml:space="preserve">G2: SME Rating? </t>
  </si>
  <si>
    <t xml:space="preserve">G3: SME Rating? </t>
  </si>
  <si>
    <t>G4: Adverse Impact of Threat</t>
  </si>
  <si>
    <t xml:space="preserve">G4: SME Rating? </t>
  </si>
  <si>
    <t xml:space="preserve">G5: Score </t>
  </si>
  <si>
    <t xml:space="preserve"> [Work!AR8]</t>
  </si>
  <si>
    <t>[Work:AS8]</t>
  </si>
  <si>
    <t>[Work!AU8]</t>
  </si>
  <si>
    <t xml:space="preserve"> [Work!AV8]</t>
  </si>
  <si>
    <t>[Work!AW8]</t>
  </si>
  <si>
    <t xml:space="preserve"> [Work!AX8]</t>
  </si>
  <si>
    <t>[Work!AY8]</t>
  </si>
  <si>
    <t xml:space="preserve"> [Work!AT8]</t>
  </si>
  <si>
    <t>[Work!B8]</t>
  </si>
  <si>
    <t>[Work!H8]</t>
  </si>
  <si>
    <t>H2: Type of Impact</t>
  </si>
  <si>
    <t xml:space="preserve"> [Work!BA7]</t>
  </si>
  <si>
    <t xml:space="preserve">H2: Impact </t>
  </si>
  <si>
    <t>[Work!BB7]</t>
  </si>
  <si>
    <t xml:space="preserve">H3: Non-Adversarial Effects </t>
  </si>
  <si>
    <t>[Work!BC7]</t>
  </si>
  <si>
    <t xml:space="preserve">H3: SME Rating? </t>
  </si>
  <si>
    <t>[Work!BD7]</t>
  </si>
  <si>
    <t>[Work!N8]</t>
  </si>
  <si>
    <t>[Work!J8]</t>
  </si>
  <si>
    <t xml:space="preserve"> [Work!AB8]</t>
  </si>
  <si>
    <t xml:space="preserve"> [Work!AC8]</t>
  </si>
  <si>
    <t xml:space="preserve"> [Work!L8]</t>
  </si>
  <si>
    <t xml:space="preserve"> [Work!M8]</t>
  </si>
  <si>
    <t xml:space="preserve"> [Work!O8]</t>
  </si>
  <si>
    <t>[Work!P8]</t>
  </si>
  <si>
    <t xml:space="preserve">D3: SME Rating? </t>
  </si>
  <si>
    <t xml:space="preserve"> [Work!R8]</t>
  </si>
  <si>
    <t xml:space="preserve"> [Work!S8]</t>
  </si>
  <si>
    <t xml:space="preserve"> [Work!U8]</t>
  </si>
  <si>
    <t xml:space="preserve"> [Work!V8]</t>
  </si>
  <si>
    <t xml:space="preserve"> [Work!AE7]</t>
  </si>
  <si>
    <t xml:space="preserve">E4: Valuation </t>
  </si>
  <si>
    <t xml:space="preserve"> [Work!AS8]</t>
  </si>
  <si>
    <t xml:space="preserve"> [Work!AI8]</t>
  </si>
  <si>
    <t>F2:Vulnerability Severity</t>
  </si>
  <si>
    <t xml:space="preserve"> [Work!AJ8]</t>
  </si>
  <si>
    <t>F2: SME Rating</t>
  </si>
  <si>
    <t xml:space="preserve"> [Work!AL8]</t>
  </si>
  <si>
    <t xml:space="preserve"> [Work!AZ8]</t>
  </si>
  <si>
    <t>[Work!BB8]</t>
  </si>
  <si>
    <t xml:space="preserve"> [Work!BA8]</t>
  </si>
  <si>
    <t xml:space="preserve"> [Work!BD8]</t>
  </si>
  <si>
    <t>H3: Non-Adversarial Effects</t>
  </si>
  <si>
    <t xml:space="preserve"> [Work!BE8]</t>
  </si>
  <si>
    <r>
      <rPr>
        <b/>
        <u/>
        <sz val="14"/>
        <color theme="1"/>
        <rFont val="Calibri"/>
        <family val="2"/>
        <scheme val="minor"/>
      </rPr>
      <t>Note</t>
    </r>
    <r>
      <rPr>
        <sz val="14"/>
        <color theme="1"/>
        <rFont val="Calibri"/>
        <family val="2"/>
        <scheme val="minor"/>
      </rPr>
      <t>: line 8 mirrows the "work" tab's Line 8.</t>
    </r>
  </si>
  <si>
    <t>[Work!AM8]</t>
  </si>
  <si>
    <t xml:space="preserve">F5: Condition Pervasiveness </t>
  </si>
  <si>
    <t xml:space="preserve"> [Work!AN8]</t>
  </si>
  <si>
    <t>[Work!AK8]</t>
  </si>
  <si>
    <t xml:space="preserve">F4: PREDISPOSING CONDITION Category: </t>
  </si>
  <si>
    <t xml:space="preserve">  [Work!AL8]</t>
  </si>
  <si>
    <t xml:space="preserve"> [Work!AW8]</t>
  </si>
  <si>
    <t xml:space="preserve"> [Work!AY8]</t>
  </si>
  <si>
    <t>[Work!AZ8]</t>
  </si>
  <si>
    <t xml:space="preserve">G5: Equivalent Qualitative Result </t>
  </si>
  <si>
    <t xml:space="preserve"> [Work!BB8]</t>
  </si>
  <si>
    <t>[Work!BC8]</t>
  </si>
  <si>
    <t>[Work!BH8]</t>
  </si>
  <si>
    <t xml:space="preserve">I2: Qualitative Result </t>
  </si>
  <si>
    <t>[Work!BI8]</t>
  </si>
  <si>
    <t xml:space="preserve">I3: Semi-Qualitative Result </t>
  </si>
  <si>
    <t>[Work!BJ8]</t>
  </si>
  <si>
    <t xml:space="preserve">I3: Equivalent Qualitative Result </t>
  </si>
  <si>
    <t>[Work!AV8]</t>
  </si>
  <si>
    <r>
      <rPr>
        <b/>
        <u/>
        <sz val="12"/>
        <color theme="1"/>
        <rFont val="Calibri"/>
        <family val="2"/>
        <scheme val="minor"/>
      </rPr>
      <t>Note</t>
    </r>
    <r>
      <rPr>
        <sz val="12"/>
        <color theme="1"/>
        <rFont val="Calibri"/>
        <family val="2"/>
        <scheme val="minor"/>
      </rPr>
      <t>: line 8 mirrows the "work" tab's Line 8.</t>
    </r>
  </si>
  <si>
    <t>[Work!AB8]</t>
  </si>
  <si>
    <t xml:space="preserve">E3: Non-Adversarial Threat Events </t>
  </si>
  <si>
    <t xml:space="preserve"> [Work!J8]</t>
  </si>
  <si>
    <t xml:space="preserve"> [Work!K8]</t>
  </si>
  <si>
    <t xml:space="preserve"> [Work!W8]</t>
  </si>
  <si>
    <t xml:space="preserve"> [Work!AD8]</t>
  </si>
  <si>
    <t>[Work!AS8]</t>
  </si>
  <si>
    <t>[Work!AG8]</t>
  </si>
  <si>
    <t xml:space="preserve"> [Work!AH8]</t>
  </si>
  <si>
    <t>[Work!AI8]</t>
  </si>
  <si>
    <t xml:space="preserve"> [Work!AG8]</t>
  </si>
  <si>
    <t xml:space="preserve"> [Work!AU8]</t>
  </si>
  <si>
    <t>[Work:BB8]</t>
  </si>
  <si>
    <t xml:space="preserve"> [Work!BC8]</t>
  </si>
  <si>
    <t xml:space="preserve"> [Work!BF8]</t>
  </si>
  <si>
    <t>[Work!BG8]</t>
  </si>
  <si>
    <t>Description: 
Authorized user erroneously contaminates a device, information system, or network by placing on it or sending to it information of a classification/sensitivity which it has not been authorized to handle. The information is exposed to access by unauthorized individuals, and as a result, the device, system, or network is unavailable while the spill is investigated and mitigated.</t>
  </si>
  <si>
    <t>Description: 
Authorized privileged user inadvertently exposes critical/sensitive information.</t>
  </si>
  <si>
    <t>Description: 
Authorized privileged user or administrator erroneously assigns a user exceptional privileges or sets privilege requirements on a resource too low.</t>
  </si>
  <si>
    <t>Description: 
Degraded communications performance due to contention.</t>
  </si>
  <si>
    <t>Description: 
Display unreadable due to aging equipment.</t>
  </si>
  <si>
    <t>Description: 
Earthquake of organization-defined magnitude at primary facility makes facility inoperable.</t>
  </si>
  <si>
    <t>Description: 
Fire (not due to adversarial activity) at primary facility makes facility inoperable.</t>
  </si>
  <si>
    <t>Description: 
Fire (not due to adversarial activity) at backup facility makes facility inoperable or destroys backups of software, configurations, data, and/or logs.</t>
  </si>
  <si>
    <t>Description: 
Flood (not due to adversarial activity) at primary facility makes facility inoperable.</t>
  </si>
  <si>
    <t>Description: 
Flood (not due to adversarial activity) at backup facility makes facility inoperable or destroys backups of software, configurations, data, and/or logs.</t>
  </si>
  <si>
    <t>Description: 
Hurricane of organization-defined strength at primary facility makes facility inoperable.</t>
  </si>
  <si>
    <t>Description:
Hurricane of organization-defined strength at backup facility makes facility inoperable or destroys backups of software, configurations, data, and/or logs.</t>
  </si>
  <si>
    <t>Description: 
Degraded processing performance due to resource depletion.</t>
  </si>
  <si>
    <t>Description: 
Due to inherent weaknesses in programming languages and software development environments, errors and vulnerabilities are introduced into commonly used software products.</t>
  </si>
  <si>
    <t>Description: 
Corrupted storage due to a disk error.</t>
  </si>
  <si>
    <t>Description: 
Multiple disk errors due to aging of a set of devices all acquired at the same time, from the same supplier.</t>
  </si>
  <si>
    <t>Description: 
Windstorm/tornado of organization-defined strength at primary facility makes facility inoperable.</t>
  </si>
  <si>
    <t>Description: 
Windstorm/tornado of organization-defined strength at backup facility makes facility inoperable or destroys backups of software, configurations, data, and/or logs.</t>
  </si>
  <si>
    <t>Description:
?</t>
  </si>
  <si>
    <t>[Work:I7]</t>
  </si>
  <si>
    <t xml:space="preserve">D2: Type of Threat Sources </t>
  </si>
  <si>
    <t>[Work:J7]</t>
  </si>
  <si>
    <t>D6: Range of Effects For Non-Adversarial Threat Sources</t>
  </si>
  <si>
    <t>[Work!X8]</t>
  </si>
  <si>
    <t>[Work!Y8]</t>
  </si>
  <si>
    <t>[Work!AT8]</t>
  </si>
  <si>
    <t xml:space="preserve"> [Work:AB7]</t>
  </si>
  <si>
    <t>Task 2-3: Vulnerability - Source of Information</t>
  </si>
  <si>
    <t xml:space="preserve"> [Work:AI7]</t>
  </si>
  <si>
    <t>[Work:AJ7]</t>
  </si>
  <si>
    <t>[Work!AL8]</t>
  </si>
  <si>
    <t>F4: Predisposing Condition Category:</t>
  </si>
  <si>
    <t>[Work!AN8]</t>
  </si>
  <si>
    <t>[Work!AJ8]</t>
  </si>
  <si>
    <t xml:space="preserve"> [Work:!AV8]</t>
  </si>
  <si>
    <t>[Work:!AW8]</t>
  </si>
  <si>
    <t>[Work:P7]</t>
  </si>
  <si>
    <t xml:space="preserve">G5: Threat Occurrence Likelihood </t>
  </si>
  <si>
    <t xml:space="preserve"> [Work:BC7]</t>
  </si>
  <si>
    <t xml:space="preserve"> [Work!BI8]</t>
  </si>
  <si>
    <t>I7: Identify Threat Event (#1)</t>
  </si>
  <si>
    <t>[Work!AD8]</t>
  </si>
  <si>
    <t xml:space="preserve"> E3: Non-Adversarial Threat</t>
  </si>
  <si>
    <t xml:space="preserve"> E3: Non-Adversarial Threat Event </t>
  </si>
  <si>
    <t>in Scope</t>
  </si>
  <si>
    <t xml:space="preserve">E5: Relevance </t>
  </si>
  <si>
    <t>Task 2-2</t>
  </si>
  <si>
    <t>For each threat event identified, organizations determine the relevance of the event. Table E-4 provides a range of values for relevance of threat events. The values selected by organizations have a direct linkage to organizational risk tolerance</t>
  </si>
  <si>
    <t>Mean Value Score:</t>
  </si>
  <si>
    <t>Expected    (80-95+, High)</t>
  </si>
  <si>
    <t>Confirmed   (96-100, Very High)</t>
  </si>
  <si>
    <t>Anticipated (21-79+, Moderate)</t>
  </si>
  <si>
    <t>Predicted   ( 5-20+, Low)</t>
  </si>
  <si>
    <t>Possible    ( 0- 4+, Very Low)</t>
  </si>
  <si>
    <t>Work!$B$8</t>
  </si>
  <si>
    <t>Work!$C$8</t>
  </si>
  <si>
    <t>Work!$AS$8</t>
  </si>
  <si>
    <t>Work!$AT$8</t>
  </si>
  <si>
    <t>E4: Likelihood</t>
  </si>
  <si>
    <t xml:space="preserve"> (0 to 100)</t>
  </si>
  <si>
    <t>D4: Weight</t>
  </si>
  <si>
    <t>D: Overall
Weight</t>
  </si>
  <si>
    <t>Work!$T$8</t>
  </si>
  <si>
    <t>Work!$W$8</t>
  </si>
  <si>
    <t>Work!$Q$8</t>
  </si>
  <si>
    <t>Work!$AA$8</t>
  </si>
  <si>
    <t>D5: Weight</t>
  </si>
  <si>
    <t xml:space="preserve"> D: Overall 
Likelihood</t>
  </si>
  <si>
    <t>Work!$Z$8</t>
  </si>
  <si>
    <t>Out of Scope</t>
  </si>
  <si>
    <t>E: Likelihood</t>
  </si>
  <si>
    <t>E: Weight</t>
  </si>
  <si>
    <t>D3: Weight</t>
  </si>
  <si>
    <t>F: Likelihood</t>
  </si>
  <si>
    <t>F: Weight</t>
  </si>
  <si>
    <t>Work!$AQ$8</t>
  </si>
  <si>
    <t>G2 or G3: Likelihood</t>
  </si>
  <si>
    <t>G2 or G3: Weight</t>
  </si>
  <si>
    <t>Work!$BA$8</t>
  </si>
  <si>
    <t>F2: Weight</t>
  </si>
  <si>
    <t>Work!$AH$8</t>
  </si>
  <si>
    <t>Work!$AM$8</t>
  </si>
  <si>
    <t>F5: Weight</t>
  </si>
  <si>
    <t>wRMS_F=</t>
  </si>
  <si>
    <t>wAVG_F=</t>
  </si>
  <si>
    <t>F: Likelihood = f(F2,F5)</t>
  </si>
  <si>
    <t>Work!$AG$8</t>
  </si>
  <si>
    <t>$BC$8</t>
  </si>
  <si>
    <t>G: Likelihood of Threat Occurrence</t>
  </si>
  <si>
    <t>G4: SME Rating</t>
  </si>
  <si>
    <t>Work!$BD$8</t>
  </si>
  <si>
    <t>Interim G5 
Semi-Qualitative</t>
  </si>
  <si>
    <t>D:Overall Likelihood=</t>
  </si>
  <si>
    <t>D: Selected Weight</t>
  </si>
  <si>
    <t>G2 or G3 Likelihood</t>
  </si>
  <si>
    <t>G2 or G3 Weight</t>
  </si>
  <si>
    <t>Work!$BC$8</t>
  </si>
  <si>
    <t>wRMS_c</t>
  </si>
  <si>
    <t>wAVG_c</t>
  </si>
  <si>
    <t>Likelihood_c</t>
  </si>
  <si>
    <t>K.E. Pommer &lt;pommer@lanl.gov&gt;</t>
  </si>
  <si>
    <t>Work!$J$8</t>
  </si>
  <si>
    <t>Work!$D$8</t>
  </si>
  <si>
    <t>Settings!AA6</t>
  </si>
  <si>
    <t xml:space="preserve">[$H$5] </t>
  </si>
  <si>
    <t xml:space="preserve">[$M$5] </t>
  </si>
  <si>
    <t xml:space="preserve">               5. The "ID_Number" list box is intended to provide a sequenially assigned positive number to each row. Each displayed value can either be incremented or decremented.
               6. The "Date" list box provides the ability to select today's date or to input the user's selection.
               7. The "Threat Type" list box is a key control used to select between Adversarial and Non-Adversarial input controls.
               8. The "Algorithm" list box enables the selection of either a Weighted Average (wAVG) or a Weighted Root Mean Square (wRMS) means of calculating the Threat Likelihood.</t>
  </si>
  <si>
    <t>I2: Qualitative Risk</t>
  </si>
  <si>
    <t>I3: Equivalent Qualitative Risk</t>
  </si>
  <si>
    <t xml:space="preserve">               9. The selection of a weight value (0 to 100) enables a selective consideration of each Likelihood (Rating) value. A weight of zero elimiates the the Likelihood value as a contribution.
             10. The end result is a determination of the "Qualitative Risk" or the "Semi-Qualitative Risk" for scenario described on each line (row).
             11. This software is provided as a best effort with no guarantees or technical support by the author, Karl Pommer &lt;pommer@lanl.gov&gt;.   </t>
  </si>
  <si>
    <t>D6: Rating?</t>
  </si>
  <si>
    <t>D3: Rating (0 to 100)</t>
  </si>
  <si>
    <t>D4: Rating (0 to 100)</t>
  </si>
  <si>
    <t>D5: Rating (0 to 100)</t>
  </si>
  <si>
    <t>E: Likelihood(0 to 100)</t>
  </si>
  <si>
    <t xml:space="preserve"> E: Weight (0 to 100)</t>
  </si>
  <si>
    <t>G2: Rating</t>
  </si>
  <si>
    <t>G3: Rating</t>
  </si>
  <si>
    <t>H2: Impact Description</t>
  </si>
  <si>
    <t>H3: Impact of Threat</t>
  </si>
  <si>
    <t>H3: Rating (0 to 100)</t>
  </si>
  <si>
    <t>I3: Semi-Qualitative Risk (0 to 100)</t>
  </si>
  <si>
    <t>InScope</t>
  </si>
  <si>
    <t>CheckE2Val_DTABLES</t>
  </si>
  <si>
    <t>Work[AC8 | AD8];   E2A!$C$18:$L$18;    E2A!$D$39:$D$78</t>
  </si>
  <si>
    <t>MATCH(Work!$AC$8,E2A!$C$18:$L$18,0)</t>
  </si>
  <si>
    <t>IF(IFNA(MATCH(Work!$AD$8,E2A!$C$39:$C$78,0),0), 1,0)</t>
  </si>
  <si>
    <t>IF(IFNA(MATCH(Work!$AD$8,E2A!$D$39:$D$78,0),0), 2,0)</t>
  </si>
  <si>
    <t>Match input Event (Work!AD8)to Appropriate Row returns Row Number otherwise returns zero</t>
  </si>
  <si>
    <t>Match input category (Work!AC8)to Column</t>
  </si>
  <si>
    <t>IF(IFNA(MATCH(Work!$AD$8,E2A!$E$39:$E$78,0),0), 3,0)</t>
  </si>
  <si>
    <t>IF(MATCH(Work!$AC$8,E2A!$C$18:$L$18,0)&lt;&gt;SUM( IF(IFNA(MATCH(Work!$AD$8,E2A!$C$39:$C$78,0),0), 1,0),  IF(IFNA(MATCH(Work!$AD$8,E2A!$D$39:$D$78,0),0), 2,0),  IF(IFNA(MATCH(Work!$AD$8,E2A!$E$39:$E$78,0),0),3,0),   IF(IFNA(MATCH(Work!$AD$8,E2A!$F$39:$F$78,0),0),4,0),   IF(IFNA(MATCH(Work!$AD$8,E2A!$G$39:$G$78,0),0),5,0),  IF(IFNA(MATCH(Work!$AD$8,E2A!$H$39:$H$78,0),0),6,0),  IF(IFNA(MATCH(Work!$AD$8,E2A!$I$39:$I$78,0),0), 7,0),   IF(IFNA(MATCH(Work!$AD$8,E2A!$J$39:$J$78,0),0),8,0),   IF(IFNA(MATCH(Work!$AD$8,E2A!$K$39:$K$78,0),0),9,0),   IF(IFNA(MATCH(Work!$AD$8,E2A!$L$39:$L$78,0),0),10,0) ),   1,0)</t>
  </si>
  <si>
    <t>Help:  
Select an [Vulnerability Severity] and then accept /change the [SME Rating?] value</t>
  </si>
  <si>
    <t>Description: 
The vulnerability is of minor concern, but effectiveness of remediation could be improved. Relevant security control or other remediation is fully implemented and somewhat effective.</t>
  </si>
  <si>
    <t>Description: 
The vulnerability is of moderate concern, based on the exposure of the vulnerability and ease of exploitation and/or on the severity of impacts that could result from its exploitation. Relevant security control or other remediation is partially implemented and somewhat effective.</t>
  </si>
  <si>
    <t>Description: 
The vulnerability is of high concern, based on the exposure of the vulnerability and ease of exploitation and/or on the severity of impacts that could result from its exploitation. Relevant security control or other remediation is planned but not implemented; compensating controls are in place and at least minimally effective.</t>
  </si>
  <si>
    <t>Description: 
The vulnerability is exposed and exploitable, and its exploitation could result in severe impacts. Relevant security control or other remediation is not implemented and not planned; or no security measure can be identified to remediate the vulnerability.</t>
  </si>
  <si>
    <t>N/A (Click here to start update)</t>
  </si>
  <si>
    <r>
      <rPr>
        <b/>
        <sz val="11"/>
        <color theme="1"/>
        <rFont val="Calibri"/>
        <family val="2"/>
        <scheme val="minor"/>
      </rPr>
      <t>Description</t>
    </r>
    <r>
      <rPr>
        <sz val="11"/>
        <color theme="1"/>
        <rFont val="Calibri"/>
        <family val="2"/>
        <scheme val="minor"/>
      </rPr>
      <t>: 
The threat event [tactics, techniques, and procedures, if Adversarial] has been predicted by a trusted source.</t>
    </r>
  </si>
  <si>
    <r>
      <rPr>
        <b/>
        <sz val="11"/>
        <color theme="1"/>
        <rFont val="Calibri"/>
        <family val="2"/>
        <scheme val="minor"/>
      </rPr>
      <t>Description</t>
    </r>
    <r>
      <rPr>
        <sz val="11"/>
        <color theme="1"/>
        <rFont val="Calibri"/>
        <family val="2"/>
        <scheme val="minor"/>
      </rPr>
      <t>: 
The threat event [Tactics, Techniques, and Procedures (TTP), if Adversarial] has been seen by the organization.</t>
    </r>
  </si>
  <si>
    <r>
      <rPr>
        <b/>
        <sz val="11"/>
        <color theme="1"/>
        <rFont val="Calibri"/>
        <family val="2"/>
        <scheme val="minor"/>
      </rPr>
      <t>Description</t>
    </r>
    <r>
      <rPr>
        <sz val="11"/>
        <color theme="1"/>
        <rFont val="Calibri"/>
        <family val="2"/>
        <scheme val="minor"/>
      </rPr>
      <t>: 
The threat event [Tactics, Techniques, and Procedures (TTP), if Adversarial] has been seen by the organization’s peers or partners.</t>
    </r>
  </si>
  <si>
    <r>
      <rPr>
        <b/>
        <sz val="11"/>
        <color theme="1"/>
        <rFont val="Calibri"/>
        <family val="2"/>
        <scheme val="minor"/>
      </rPr>
      <t>Description</t>
    </r>
    <r>
      <rPr>
        <sz val="11"/>
        <color theme="1"/>
        <rFont val="Calibri"/>
        <family val="2"/>
        <scheme val="minor"/>
      </rPr>
      <t>: 
The threat event [Tactics, Techniques, and Procedures (TTP), if Adversarial] has been reported by a trusted source.</t>
    </r>
  </si>
  <si>
    <r>
      <rPr>
        <i/>
        <sz val="11"/>
        <color theme="1"/>
        <rFont val="Calibri"/>
        <family val="2"/>
        <scheme val="minor"/>
      </rPr>
      <t>Description</t>
    </r>
    <r>
      <rPr>
        <sz val="11"/>
        <color theme="1"/>
        <rFont val="Calibri"/>
        <family val="2"/>
        <scheme val="minor"/>
      </rPr>
      <t>: The threat event [Tactics, Techniques, and Procedures (TTP), if Adversarial] has been described by a somewhat credible source.</t>
    </r>
  </si>
  <si>
    <t>E: Relevance (0 to 100)</t>
  </si>
  <si>
    <t>"N/A="</t>
  </si>
  <si>
    <t>Work!$K$8</t>
  </si>
  <si>
    <t>e_nna</t>
  </si>
  <si>
    <t>D: Overall</t>
  </si>
  <si>
    <t>G2/G3: Weight</t>
  </si>
  <si>
    <t>Work!$AL$8</t>
  </si>
  <si>
    <t>Likelihoods:</t>
  </si>
  <si>
    <t>G2/G3: Rating</t>
  </si>
  <si>
    <t>ROUND(IF(wRMS, wRMS_c, wAVG_c),1)</t>
  </si>
  <si>
    <t>End:   2019-05-09</t>
  </si>
  <si>
    <t>Start: 2018-08-06</t>
  </si>
  <si>
    <t>LANL Author:</t>
  </si>
  <si>
    <t>IF(AND(ISNUMBER(Work!$BD$8),IF(Work!$BD$8&gt;=1,1,0),IF(Work!$BD$8&lt;=100,1,0)), 1, 0)</t>
  </si>
  <si>
    <t>G23_wt</t>
  </si>
  <si>
    <t>g23_bwt</t>
  </si>
  <si>
    <t>( (InScope*Work!$AA$8*Work!$Z$8 + e_nna*Work!$AH$8*Work!$AG$8  + Work!$AT$8*Work!$AS$8 + Work!$BD$8*Work!$BC$8 )/(InScope*Work!$AA$8 + e_nna*Work!$AH$8 + Work!$AT$8 + g23_wt ) )</t>
  </si>
  <si>
    <t>IF(g23_bwt, Work!$BD$8, Setting!$Y$13)</t>
  </si>
  <si>
    <t>SQRT( (InScope*Work!$AA$8*Work!$Z$8*Work!$Z$8 + e_nna*Work!$AH$8*Work!$AG$8*Work!$AG$8  + Work!$AT$8*Work!$AS$8*Work!$AS$8 + g23_wt*Work!$BC$8*Work!$BC$8 )/(InScope*Work!$AA$8 + Work!$AH$8 + Work!$AT$8 + g23_wt) )</t>
  </si>
  <si>
    <t>Default=</t>
  </si>
  <si>
    <t>InScope:</t>
  </si>
  <si>
    <t>$AM$8</t>
  </si>
  <si>
    <t>$AR$8</t>
  </si>
  <si>
    <t>VLOOKUP(Work!$AF$8,'E4'!$C$18:$E$24,2,FALSE)</t>
  </si>
  <si>
    <t>F2: Rating</t>
  </si>
  <si>
    <t>Description: 
Applies to few organizational missions/business functions (Tier 1), mission/business processes (Tier 2), or information systems (Tier 3).</t>
  </si>
  <si>
    <t>Description: 
Applies to some organizational missions/business functions (Tier 1), mission/business processes (Tier 2), or information systems (Tier 3).</t>
  </si>
  <si>
    <t>Description: 
Applies to most organizational missions/business functions (Tier 1), mission/business processes (Tier 2), or information systems (Tier 3).</t>
  </si>
  <si>
    <t>Description: 
Applies to all organizational missions/business functions (Tier 1), mission/business processes (Tier 2), or information systems (Tier 3).</t>
  </si>
  <si>
    <t>F5: Rating</t>
  </si>
  <si>
    <t>f5_weight=</t>
  </si>
  <si>
    <r>
      <rPr>
        <b/>
        <sz val="11"/>
        <color theme="1"/>
        <rFont val="Calibri"/>
        <family val="2"/>
        <scheme val="minor"/>
      </rPr>
      <t xml:space="preserve">Description: Threat relevance  is not currently applicable .
( E:Likelihood = 0; E:Weight = 0)
</t>
    </r>
    <r>
      <rPr>
        <sz val="11"/>
        <color theme="1"/>
        <rFont val="Calibri"/>
        <family val="2"/>
        <scheme val="minor"/>
      </rPr>
      <t>The threat event  could assume specific technologies, architectures, or processes that are not present in the organization, mission/business process, EA segment, or information system; or predisposing conditions that are not present (e.g., location in a flood plain). Alternately, if the organization is using detailed or specific threat information, a threat event could be deemed inapplicable because information indicates that no adversary is expected to initiate the threat event .</t>
    </r>
  </si>
  <si>
    <t>Description: Vulnerability Severaty is not currently applicable .
F2:Likelihood = 0; F2:Weight = 0)</t>
  </si>
  <si>
    <t>Description: 
Pervasiveness of Predisposing Conditions is not applicable .
F5:Likelihood = 0; F5:Weight = 0)</t>
  </si>
  <si>
    <t>F: Calculated 
Likelihood</t>
  </si>
  <si>
    <t xml:space="preserve"> (1 to 100)</t>
  </si>
  <si>
    <t>f2_weight=</t>
  </si>
  <si>
    <t>ROUND(IF(wRMS, wRMS_F, wAVG_F),1)</t>
  </si>
  <si>
    <t>wRMS=</t>
  </si>
  <si>
    <t>(Work!$AM$8*Work!$AL$8 + Work!$AR$8*Work!$AQ$8)/(Work!$AM$8 + Work!$AR$8)</t>
  </si>
  <si>
    <t>SQRT( (Work!$AM$8*Work!$AL$8*Work!$AL$8 + Work!$AR$8*Work!$AQ$8*Work!$AQ$8)/(Work!$AM$8 + Work!$AR$8) )</t>
  </si>
  <si>
    <t>IF(Algorithm = "Weighted RMS", 1, 0)</t>
  </si>
  <si>
    <t>(1 to 100)</t>
  </si>
  <si>
    <t>f25_nwt=</t>
  </si>
  <si>
    <t xml:space="preserve"> Likelihood of Threat Event
G2: Initiation(Adversarial)
G3: Occurrence (Non-Adversarial)</t>
  </si>
  <si>
    <t>Description: 
Adversary is highly unlikely to initiate the threat event.</t>
  </si>
  <si>
    <t>Description: 
Adversary is unlikely to initiate the threat event.</t>
  </si>
  <si>
    <t>Description: 
Adversary is somewhat likely to initiate the threat event.</t>
  </si>
  <si>
    <t>Description: 
Adversary is highly likely to initiate the threat event.</t>
  </si>
  <si>
    <t>I2: Qualitative Method 
(Result Result)</t>
  </si>
  <si>
    <t>I3: Semi-Qualitative Method 
(Risk Results)</t>
  </si>
  <si>
    <t>Targeting the Accidental User Insider Threat</t>
  </si>
  <si>
    <t>Limited expertise typical of an office worker</t>
  </si>
  <si>
    <t>Work!$N$8: In Scope</t>
  </si>
  <si>
    <t>NIST 800-30 Test #1</t>
  </si>
  <si>
    <t>G2 or G3: 
Likelihood
(Calculated)</t>
  </si>
  <si>
    <t>$C  AKA Col 1</t>
  </si>
  <si>
    <t>$D  AKA Col 2</t>
  </si>
  <si>
    <t>$E  AKA Col 3</t>
  </si>
  <si>
    <t>$F  AKA Col 4</t>
  </si>
  <si>
    <t>$G AKA Col 5</t>
  </si>
  <si>
    <t>D2'!C8</t>
  </si>
  <si>
    <t>C40</t>
  </si>
  <si>
    <t>D40</t>
  </si>
  <si>
    <t>E40</t>
  </si>
  <si>
    <t>F40</t>
  </si>
  <si>
    <t>G340</t>
  </si>
  <si>
    <t>H40</t>
  </si>
  <si>
    <t>C40:G80</t>
  </si>
  <si>
    <t>D40:D80</t>
  </si>
  <si>
    <t>E40:E80</t>
  </si>
  <si>
    <t>F40:F80</t>
  </si>
  <si>
    <t>G40:G80</t>
  </si>
  <si>
    <t>H40:H80</t>
  </si>
  <si>
    <t>C30</t>
  </si>
  <si>
    <t>C31</t>
  </si>
  <si>
    <t>C32</t>
  </si>
  <si>
    <t>C33</t>
  </si>
  <si>
    <t>C34</t>
  </si>
  <si>
    <t>C35</t>
  </si>
  <si>
    <t>C36</t>
  </si>
  <si>
    <t>C100:C108</t>
  </si>
  <si>
    <t>D100:D108</t>
  </si>
  <si>
    <t>E100:E108</t>
  </si>
  <si>
    <t>F100:F108</t>
  </si>
  <si>
    <t>C56:C77</t>
  </si>
  <si>
    <t>D56:D77</t>
  </si>
  <si>
    <t>E56:E77</t>
  </si>
  <si>
    <t>F56:F77</t>
  </si>
  <si>
    <t>E2A'!C22</t>
  </si>
  <si>
    <t>C22</t>
  </si>
  <si>
    <t>D22</t>
  </si>
  <si>
    <t>E22</t>
  </si>
  <si>
    <t>F22</t>
  </si>
  <si>
    <t>F4'!$C$55=</t>
  </si>
  <si>
    <t>C56 = Reference</t>
  </si>
  <si>
    <t>24 rows downward</t>
  </si>
  <si>
    <t>Columns = 3-1 = 2</t>
  </si>
  <si>
    <t xml:space="preserve">         OFFSET('F4'!$C$56, 24, MATCH(Work!$AN$8,  'F4'!$C$56:$E$56,  0)-1)</t>
  </si>
  <si>
    <t>F4: TAXONOMY OF 
PREDISPOSING CONDITIONS</t>
  </si>
  <si>
    <t>Currently Defined Print Area (Excel Rows 23 to 42).</t>
  </si>
  <si>
    <t>Do not change or delete Lines 9 through 22.</t>
  </si>
  <si>
    <t>Line 22:</t>
  </si>
  <si>
    <r>
      <t>Notes:  1. This tool was designed to be compliant with NIST 800-30 Revision 1 using Appendices D through I. Note that it is accomplished using Excel Formulas and does not utilize any VBA coding.
               2. Data selections are made on Row 8 and then copied and pasted by value to the table below beginning at Row 23.</t>
    </r>
    <r>
      <rPr>
        <b/>
        <sz val="14"/>
        <color rgb="FFC00000"/>
        <rFont val="Calibri"/>
        <family val="2"/>
        <scheme val="minor"/>
      </rPr>
      <t xml:space="preserve"> Please d</t>
    </r>
    <r>
      <rPr>
        <b/>
        <u/>
        <sz val="14"/>
        <color rgb="FFC00000"/>
        <rFont val="Calibri"/>
        <family val="2"/>
        <scheme val="minor"/>
      </rPr>
      <t>o not paste any items to the Input Row #9!</t>
    </r>
    <r>
      <rPr>
        <b/>
        <sz val="14"/>
        <color theme="1"/>
        <rFont val="Calibri"/>
        <family val="2"/>
        <scheme val="minor"/>
      </rPr>
      <t xml:space="preserve">
               3. Data entry on Row 8 should be performed from left to right.  Many cells contain list boxes. All must be clicked from left to right inorder to enter / select / validate the required value.
               4. To make a list box selection, first click on the main body of the list box cell and then click on the selector that appears on the lower right side of the cell.
</t>
    </r>
  </si>
  <si>
    <t>Cyber Security Risk Register Tool (CSRRT) - Revision 0.5 (Draft Version)</t>
  </si>
  <si>
    <t>Description: 
The adversary has very limited resources, expertise, and opportunities to support a successful attack.</t>
  </si>
  <si>
    <t>Description:
The adversary has moderate resources, expertise, and opportunities to support multiple successful attacks.</t>
  </si>
  <si>
    <t>Description:
The adversary has a very sophisticated level of expertise, is well-resourced, and can generate opportunities to support multiple successful, continuous, and coordinated attacks.</t>
  </si>
  <si>
    <t>Description:
The adversary has limited resources, expertise, and opportunities to support a successful attack.</t>
  </si>
  <si>
    <t>Description:
The adversary has a sophisticated level of expertise, with significant resources and opportunities to support multiple successful coordinated attacks.</t>
  </si>
  <si>
    <t>f_null*ROUND(IF(wRMS, wRMS_F, wAVG_F),1)</t>
  </si>
  <si>
    <t>F:Likelihood=</t>
  </si>
  <si>
    <t>f_null=</t>
  </si>
  <si>
    <t>IF(OR(f2_na,f5_na,f2_help,f5_help,f2_weight, f5_weight), 0, 1)</t>
  </si>
  <si>
    <t>f_nnull=</t>
  </si>
  <si>
    <t>Harms (e.g., financial costs, sanctions) due to noncompliance. - 
With contractual requirements or other requirements in other binding agreements (e.g., liability).</t>
  </si>
  <si>
    <t>NIST 800-30 Test #2</t>
  </si>
  <si>
    <t>Nation State Attack</t>
  </si>
  <si>
    <t>Fully financed and Supported.</t>
  </si>
  <si>
    <t>Experience with known nation state attackers.</t>
  </si>
  <si>
    <t>NIST 800-30 Test #3</t>
  </si>
  <si>
    <t xml:space="preserve">Privileged Insider </t>
  </si>
  <si>
    <t>System Administrator Skills</t>
  </si>
  <si>
    <t>Harms (e.g., financial costs, sanctions) due to noncompliance. - 
With applicable laws or regulations.</t>
  </si>
  <si>
    <t>© (or copyright) 2019. Triad National Security, LLC. All rights reserved.</t>
  </si>
  <si>
    <t>This program was produced under U.S. Government contract 89233218CNA000001 for Los Alamos</t>
  </si>
  <si>
    <t>National Laboratory (LANL), which is operated by Triad National Security, LLC for the U.S.</t>
  </si>
  <si>
    <t>Department of Energy/National Nuclear Security Administration. All rights in the program are</t>
  </si>
  <si>
    <t>reserved by Triad National Security, LLC, and the U.S. Department of Energy/National Nuclear</t>
  </si>
  <si>
    <t>Security Administration. The Government is granted for itself and others acting on its behalf a</t>
  </si>
  <si>
    <t>nonexclusive, paid-up, irrevocable worldwide license in this material to reproduce, prepare</t>
  </si>
  <si>
    <t>derivative works, distribute copies to the public, perform publicly and display publicly, and to permit</t>
  </si>
  <si>
    <t>others to do so.</t>
  </si>
  <si>
    <t>This program is open source under the BSD-3 License.</t>
  </si>
  <si>
    <t>Redistribution and use in source and binary forms, with or without modification, are permitted</t>
  </si>
  <si>
    <t>provided that the following conditions are met:</t>
  </si>
  <si>
    <t>1. Redistributions of source code must retain the above copyright notice, this list of conditions and</t>
  </si>
  <si>
    <t>the following disclaimer.</t>
  </si>
  <si>
    <t>2.Redistributions in binary form must reproduce the above copyright notice, this list of conditions</t>
  </si>
  <si>
    <t>and the following disclaimer in the documentation and/or other materials provided with the</t>
  </si>
  <si>
    <t>distribution.</t>
  </si>
  <si>
    <t>3.Neither the name of the copyright holder nor the names of its contributors may be used to endorse</t>
  </si>
  <si>
    <t>or promote products derived from this software without specific prior written permission.</t>
  </si>
  <si>
    <t>THIS SOFTWARE IS PROVIDED BY THE COPYRIGHT HOLDERS AND CONTRIBUTORS "AS</t>
  </si>
  <si>
    <t>IS" AND ANY EXPRESS OR IMPLIED WARRANTIES, INCLUDING, BUT NOT LIMITED TO, THE</t>
  </si>
  <si>
    <t>IMPLIED WARRANTIES OF MERCHANTABILITY AND FITNESS FOR A PARTICULAR</t>
  </si>
  <si>
    <t>PURPOSE ARE DISCLAIMED. IN NO EVENT SHALL THE COPYRIGHT HOLDER OR</t>
  </si>
  <si>
    <t>CONTRIBUTORS BE LIABLE FOR ANY DIRECT, INDIRECT, INCIDENTAL, SPECIAL,</t>
  </si>
  <si>
    <t>EXEMPLARY, OR CONSEQUENTIAL DAMAGES (INCLUDING, BUT NOT LIMITED TO,</t>
  </si>
  <si>
    <t>PROCUREMENT OF SUBSTITUTE GOODS OR SERVICES; LOSS OF USE, DATA, OR PROFITS;</t>
  </si>
  <si>
    <t>OR BUSINESS INTERRUPTION) HOWEVER CAUSED AND ON ANY THEORY OF LIABILITY,</t>
  </si>
  <si>
    <t>WHETHER IN CONTRACT, STRICT LIABILITY, OR TORT (INCLUDING NEGLIGENCE OR</t>
  </si>
  <si>
    <t>OTHERWISE) ARISING IN ANY WAY OUT OF THE USE OF THIS SOFTWARE, EVEN IF</t>
  </si>
  <si>
    <t>ADVISED OF THE POSSIBILITY OF SUCH DAMAGE.</t>
  </si>
  <si>
    <t xml:space="preserve">SP 800-30 Rev. 1 </t>
  </si>
  <si>
    <t>Guide for Conducting Risk Assessments</t>
  </si>
  <si>
    <t>https://csrc.nist.gov/publications/detail/sp/800-30/rev-1/final</t>
  </si>
  <si>
    <t>Presented</t>
  </si>
  <si>
    <t>NLIT 2019</t>
  </si>
  <si>
    <t>Los Alamos National</t>
  </si>
  <si>
    <t>Laboratory</t>
  </si>
  <si>
    <t>LA-UR 19 24261</t>
  </si>
  <si>
    <t>Modeling a NIST 800-30 Risk Register Tool</t>
  </si>
  <si>
    <t>2019 05 09</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</si>
</sst>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yyyy\-mm\-dd"/>
    <numFmt numFmtId="165" formatCode="0.0"/>
  </numFmts>
  <fonts count="86">
    <font>
      <sz val="11"/>
      <color theme="1"/>
      <name val="Calibri"/>
      <family val="2"/>
      <scheme val="minor"/>
    </font>
    <font>
      <b/>
      <sz val="11"/>
      <color theme="1"/>
      <name val="Calibri"/>
      <family val="2"/>
      <scheme val="minor"/>
    </font>
    <font>
      <b/>
      <sz val="11"/>
      <color rgb="FFFF0000"/>
      <name val="Calibri"/>
      <family val="2"/>
      <scheme val="minor"/>
    </font>
    <font>
      <sz val="10"/>
      <color theme="1"/>
      <name val="Calibri"/>
      <family val="2"/>
    </font>
    <font>
      <u/>
      <sz val="11"/>
      <color theme="10"/>
      <name val="Calibri"/>
      <family val="2"/>
      <scheme val="minor"/>
    </font>
    <font>
      <b/>
      <sz val="11"/>
      <color theme="1"/>
      <name val="Arial"/>
      <family val="2"/>
    </font>
    <font>
      <b/>
      <u/>
      <sz val="11"/>
      <color theme="10"/>
      <name val="Calibri"/>
      <family val="2"/>
      <scheme val="minor"/>
    </font>
    <font>
      <sz val="8"/>
      <color theme="1"/>
      <name val="Arial Narrow"/>
      <family val="2"/>
    </font>
    <font>
      <b/>
      <u/>
      <sz val="11"/>
      <color theme="1"/>
      <name val="Calibri"/>
      <family val="2"/>
      <scheme val="minor"/>
    </font>
    <font>
      <sz val="11"/>
      <color theme="1"/>
      <name val="Arial"/>
      <family val="2"/>
    </font>
    <font>
      <b/>
      <sz val="11"/>
      <color rgb="FF2F2F2F"/>
      <name val="Calibri"/>
      <family val="2"/>
      <scheme val="minor"/>
    </font>
    <font>
      <sz val="14"/>
      <color rgb="FF2C2C2D"/>
      <name val="Times New Roman"/>
      <family val="1"/>
    </font>
    <font>
      <b/>
      <sz val="11"/>
      <color rgb="FF2C2C2D"/>
      <name val="Times New Roman"/>
      <family val="1"/>
    </font>
    <font>
      <b/>
      <sz val="11"/>
      <color rgb="FF2C2C2D"/>
      <name val="Calibri"/>
      <family val="2"/>
      <scheme val="minor"/>
    </font>
    <font>
      <sz val="9"/>
      <color indexed="81"/>
      <name val="Tahoma"/>
      <family val="2"/>
    </font>
    <font>
      <b/>
      <sz val="9"/>
      <color indexed="81"/>
      <name val="Tahoma"/>
      <family val="2"/>
    </font>
    <font>
      <sz val="11"/>
      <color rgb="FFC00000"/>
      <name val="Calibri"/>
      <family val="2"/>
      <scheme val="minor"/>
    </font>
    <font>
      <b/>
      <sz val="11"/>
      <color rgb="FF000000"/>
      <name val="Calibri"/>
      <family val="2"/>
      <scheme val="minor"/>
    </font>
    <font>
      <b/>
      <sz val="11"/>
      <color theme="1"/>
      <name val="Courier New"/>
      <family val="3"/>
    </font>
    <font>
      <b/>
      <sz val="12"/>
      <color theme="1"/>
      <name val="Calibri"/>
      <family val="2"/>
      <scheme val="minor"/>
    </font>
    <font>
      <b/>
      <sz val="14"/>
      <color theme="1"/>
      <name val="Calibri"/>
      <family val="2"/>
      <scheme val="minor"/>
    </font>
    <font>
      <b/>
      <sz val="14"/>
      <color rgb="FFC00000"/>
      <name val="Calibri"/>
      <family val="2"/>
      <scheme val="minor"/>
    </font>
    <font>
      <b/>
      <sz val="14"/>
      <color theme="0" tint="-0.14999847407452621"/>
      <name val="Calibri"/>
      <family val="2"/>
      <scheme val="minor"/>
    </font>
    <font>
      <b/>
      <sz val="14"/>
      <color rgb="FFFFFF00"/>
      <name val="Calibri"/>
      <family val="2"/>
      <scheme val="minor"/>
    </font>
    <font>
      <sz val="11"/>
      <color rgb="FFFFFF00"/>
      <name val="Calibri"/>
      <family val="2"/>
      <scheme val="minor"/>
    </font>
    <font>
      <sz val="12"/>
      <color theme="1"/>
      <name val="Calibri"/>
      <family val="2"/>
      <scheme val="minor"/>
    </font>
    <font>
      <sz val="14"/>
      <color theme="1"/>
      <name val="Calibri"/>
      <family val="2"/>
      <scheme val="minor"/>
    </font>
    <font>
      <b/>
      <sz val="16"/>
      <color rgb="FFC00000"/>
      <name val="Calibri"/>
      <family val="2"/>
      <scheme val="minor"/>
    </font>
    <font>
      <b/>
      <sz val="11"/>
      <color rgb="FF0070C0"/>
      <name val="Calibri"/>
      <family val="2"/>
      <scheme val="minor"/>
    </font>
    <font>
      <b/>
      <u/>
      <sz val="11"/>
      <color rgb="FFC00000"/>
      <name val="Calibri"/>
      <family val="2"/>
      <scheme val="minor"/>
    </font>
    <font>
      <b/>
      <sz val="11"/>
      <color rgb="FFC00000"/>
      <name val="Calibri"/>
      <family val="2"/>
      <scheme val="minor"/>
    </font>
    <font>
      <b/>
      <sz val="12"/>
      <color theme="1"/>
      <name val="Arial"/>
      <family val="2"/>
    </font>
    <font>
      <b/>
      <sz val="14"/>
      <color theme="1"/>
      <name val="Arial"/>
      <family val="2"/>
    </font>
    <font>
      <b/>
      <sz val="8"/>
      <color theme="1"/>
      <name val="Arial"/>
      <family val="2"/>
    </font>
    <font>
      <b/>
      <sz val="9"/>
      <color theme="1"/>
      <name val="Arial"/>
      <family val="2"/>
    </font>
    <font>
      <i/>
      <sz val="10"/>
      <color theme="1"/>
      <name val="Calibri"/>
      <family val="2"/>
    </font>
    <font>
      <sz val="11"/>
      <color theme="1"/>
      <name val="Arial Narrow"/>
      <family val="2"/>
    </font>
    <font>
      <b/>
      <i/>
      <sz val="10"/>
      <color theme="1"/>
      <name val="Calibri"/>
      <family val="2"/>
    </font>
    <font>
      <sz val="11"/>
      <color theme="1"/>
      <name val="Times New Roman"/>
      <family val="1"/>
    </font>
    <font>
      <b/>
      <u/>
      <sz val="10"/>
      <color theme="1"/>
      <name val="Calibri"/>
      <family val="2"/>
    </font>
    <font>
      <sz val="36"/>
      <color theme="1"/>
      <name val="Calibri"/>
      <family val="2"/>
      <scheme val="minor"/>
    </font>
    <font>
      <i/>
      <sz val="11"/>
      <color theme="1"/>
      <name val="Calibri"/>
      <family val="2"/>
      <scheme val="minor"/>
    </font>
    <font>
      <b/>
      <sz val="11"/>
      <color theme="0"/>
      <name val="Calibri"/>
      <family val="2"/>
      <scheme val="minor"/>
    </font>
    <font>
      <sz val="11"/>
      <color theme="0"/>
      <name val="Calibri"/>
      <family val="2"/>
      <scheme val="minor"/>
    </font>
    <font>
      <sz val="11"/>
      <name val="Calibri"/>
      <family val="2"/>
      <scheme val="minor"/>
    </font>
    <font>
      <b/>
      <sz val="11"/>
      <name val="Calibri"/>
      <family val="2"/>
      <scheme val="minor"/>
    </font>
    <font>
      <b/>
      <sz val="12"/>
      <color rgb="FFFFC000"/>
      <name val="Calibri"/>
      <family val="2"/>
      <scheme val="minor"/>
    </font>
    <font>
      <b/>
      <sz val="12"/>
      <color rgb="FFFFC000"/>
      <name val="Calibri"/>
      <family val="2"/>
    </font>
    <font>
      <b/>
      <sz val="12"/>
      <color rgb="FFC00000"/>
      <name val="Calibri"/>
      <family val="2"/>
      <scheme val="minor"/>
    </font>
    <font>
      <b/>
      <sz val="12"/>
      <color theme="0"/>
      <name val="Calibri"/>
      <family val="2"/>
    </font>
    <font>
      <sz val="11"/>
      <color rgb="FFFF0000"/>
      <name val="Calibri"/>
      <family val="2"/>
      <scheme val="minor"/>
    </font>
    <font>
      <b/>
      <sz val="14"/>
      <name val="Calibri"/>
      <family val="2"/>
      <scheme val="minor"/>
    </font>
    <font>
      <b/>
      <sz val="16"/>
      <color theme="1"/>
      <name val="Calibri"/>
      <family val="2"/>
      <scheme val="minor"/>
    </font>
    <font>
      <b/>
      <sz val="14"/>
      <color rgb="FFFF0000"/>
      <name val="Calibri"/>
      <family val="2"/>
      <scheme val="minor"/>
    </font>
    <font>
      <sz val="14"/>
      <color rgb="FFFF0000"/>
      <name val="Calibri"/>
      <family val="2"/>
      <scheme val="minor"/>
    </font>
    <font>
      <b/>
      <sz val="14"/>
      <color theme="0"/>
      <name val="Calibri"/>
      <family val="2"/>
      <scheme val="minor"/>
    </font>
    <font>
      <b/>
      <sz val="11"/>
      <name val="Courier New"/>
      <family val="3"/>
    </font>
    <font>
      <b/>
      <sz val="16"/>
      <name val="Calibri"/>
      <family val="2"/>
      <scheme val="minor"/>
    </font>
    <font>
      <b/>
      <sz val="14"/>
      <color rgb="FF000000"/>
      <name val="Calibri"/>
      <family val="2"/>
      <scheme val="minor"/>
    </font>
    <font>
      <b/>
      <u/>
      <sz val="14"/>
      <color rgb="FFC00000"/>
      <name val="Calibri"/>
      <family val="2"/>
      <scheme val="minor"/>
    </font>
    <font>
      <b/>
      <sz val="11"/>
      <color rgb="FF7030A0"/>
      <name val="Calibri"/>
      <family val="2"/>
      <scheme val="minor"/>
    </font>
    <font>
      <b/>
      <sz val="12"/>
      <color rgb="FF7030A0"/>
      <name val="Calibri"/>
      <family val="2"/>
      <scheme val="minor"/>
    </font>
    <font>
      <b/>
      <sz val="20"/>
      <color theme="1"/>
      <name val="Calibri"/>
      <family val="2"/>
      <scheme val="minor"/>
    </font>
    <font>
      <sz val="16"/>
      <color theme="1"/>
      <name val="Calibri"/>
      <family val="2"/>
      <scheme val="minor"/>
    </font>
    <font>
      <sz val="18"/>
      <color theme="1"/>
      <name val="Calibri"/>
      <family val="2"/>
      <scheme val="minor"/>
    </font>
    <font>
      <sz val="12"/>
      <color rgb="FFC00000"/>
      <name val="Calibri"/>
      <family val="2"/>
      <scheme val="minor"/>
    </font>
    <font>
      <b/>
      <sz val="20"/>
      <color rgb="FFC00000"/>
      <name val="Calibri"/>
      <family val="2"/>
      <scheme val="minor"/>
    </font>
    <font>
      <sz val="12"/>
      <color theme="1"/>
      <name val="Arial"/>
      <family val="2"/>
    </font>
    <font>
      <sz val="12"/>
      <color rgb="FF3E3530"/>
      <name val="Arial"/>
      <family val="2"/>
    </font>
    <font>
      <b/>
      <sz val="12"/>
      <color rgb="FF666666"/>
      <name val="Arial"/>
      <family val="2"/>
    </font>
    <font>
      <b/>
      <sz val="18"/>
      <color theme="1"/>
      <name val="Calibri"/>
      <family val="2"/>
      <scheme val="minor"/>
    </font>
    <font>
      <b/>
      <sz val="14"/>
      <color rgb="FF7030A0"/>
      <name val="Calibri"/>
      <family val="2"/>
      <scheme val="minor"/>
    </font>
    <font>
      <sz val="72"/>
      <color theme="1"/>
      <name val="Arial Black"/>
      <family val="2"/>
    </font>
    <font>
      <b/>
      <sz val="14"/>
      <color theme="1"/>
      <name val="Courier New"/>
      <family val="3"/>
    </font>
    <font>
      <b/>
      <sz val="22"/>
      <color theme="1"/>
      <name val="Calibri"/>
      <family val="2"/>
      <scheme val="minor"/>
    </font>
    <font>
      <b/>
      <sz val="12"/>
      <name val="Calibri"/>
      <family val="2"/>
      <scheme val="minor"/>
    </font>
    <font>
      <sz val="12"/>
      <color theme="0"/>
      <name val="Calibri"/>
      <family val="2"/>
      <scheme val="minor"/>
    </font>
    <font>
      <b/>
      <sz val="12"/>
      <color theme="0"/>
      <name val="Calibri"/>
      <family val="2"/>
      <scheme val="minor"/>
    </font>
    <font>
      <sz val="12"/>
      <name val="Calibri"/>
      <family val="2"/>
      <scheme val="minor"/>
    </font>
    <font>
      <b/>
      <u/>
      <sz val="14"/>
      <color theme="1"/>
      <name val="Calibri"/>
      <family val="2"/>
      <scheme val="minor"/>
    </font>
    <font>
      <sz val="14"/>
      <name val="Calibri"/>
      <family val="2"/>
      <scheme val="minor"/>
    </font>
    <font>
      <b/>
      <u/>
      <sz val="12"/>
      <color theme="1"/>
      <name val="Calibri"/>
      <family val="2"/>
      <scheme val="minor"/>
    </font>
    <font>
      <sz val="11"/>
      <color theme="1"/>
      <name val="Courier New"/>
      <family val="3"/>
    </font>
    <font>
      <u/>
      <sz val="14"/>
      <color theme="10"/>
      <name val="Calibri"/>
      <family val="2"/>
      <scheme val="minor"/>
    </font>
    <font>
      <i/>
      <sz val="14"/>
      <color rgb="FF000000"/>
      <name val="TimesNewRomanPS-ItalicMT"/>
    </font>
    <font>
      <b/>
      <sz val="18"/>
      <color rgb="FF333333"/>
      <name val="Source Sans Pro"/>
      <family val="2"/>
    </font>
  </fonts>
  <fills count="38">
    <fill>
      <patternFill patternType="none"/>
    </fill>
    <fill>
      <patternFill patternType="gray125"/>
    </fill>
    <fill>
      <patternFill patternType="solid">
        <fgColor theme="4" tint="0.79998168889431442"/>
        <bgColor indexed="64"/>
      </patternFill>
    </fill>
    <fill>
      <patternFill patternType="solid">
        <fgColor theme="5" tint="0.59999389629810485"/>
        <bgColor indexed="64"/>
      </patternFill>
    </fill>
    <fill>
      <patternFill patternType="solid">
        <fgColor theme="7" tint="0.79998168889431442"/>
        <bgColor indexed="64"/>
      </patternFill>
    </fill>
    <fill>
      <patternFill patternType="solid">
        <fgColor theme="0" tint="-0.14999847407452621"/>
        <bgColor indexed="64"/>
      </patternFill>
    </fill>
    <fill>
      <patternFill patternType="solid">
        <fgColor theme="9" tint="0.79998168889431442"/>
        <bgColor indexed="64"/>
      </patternFill>
    </fill>
    <fill>
      <patternFill patternType="solid">
        <fgColor rgb="FFFFFF00"/>
        <bgColor indexed="64"/>
      </patternFill>
    </fill>
    <fill>
      <patternFill patternType="solid">
        <fgColor theme="4" tint="0.59999389629810485"/>
        <bgColor indexed="64"/>
      </patternFill>
    </fill>
    <fill>
      <patternFill patternType="solid">
        <fgColor theme="0" tint="-4.9989318521683403E-2"/>
        <bgColor indexed="64"/>
      </patternFill>
    </fill>
    <fill>
      <patternFill patternType="solid">
        <fgColor theme="8" tint="0.79998168889431442"/>
        <bgColor indexed="64"/>
      </patternFill>
    </fill>
    <fill>
      <patternFill patternType="solid">
        <fgColor rgb="FF92D050"/>
        <bgColor indexed="64"/>
      </patternFill>
    </fill>
    <fill>
      <patternFill patternType="solid">
        <fgColor theme="9" tint="0.59999389629810485"/>
        <bgColor indexed="64"/>
      </patternFill>
    </fill>
    <fill>
      <patternFill patternType="solid">
        <fgColor rgb="FF00B0F0"/>
        <bgColor indexed="64"/>
      </patternFill>
    </fill>
    <fill>
      <patternFill patternType="solid">
        <fgColor theme="7" tint="0.59999389629810485"/>
        <bgColor indexed="64"/>
      </patternFill>
    </fill>
    <fill>
      <patternFill patternType="solid">
        <fgColor theme="2" tint="-9.9978637043366805E-2"/>
        <bgColor indexed="64"/>
      </patternFill>
    </fill>
    <fill>
      <patternFill patternType="solid">
        <fgColor theme="3" tint="0.79998168889431442"/>
        <bgColor indexed="64"/>
      </patternFill>
    </fill>
    <fill>
      <patternFill patternType="solid">
        <fgColor rgb="FFFFC000"/>
        <bgColor indexed="64"/>
      </patternFill>
    </fill>
    <fill>
      <patternFill patternType="solid">
        <fgColor rgb="FFFF0000"/>
        <bgColor indexed="64"/>
      </patternFill>
    </fill>
    <fill>
      <patternFill patternType="solid">
        <fgColor theme="1"/>
        <bgColor indexed="64"/>
      </patternFill>
    </fill>
    <fill>
      <patternFill patternType="solid">
        <fgColor theme="5"/>
        <bgColor indexed="64"/>
      </patternFill>
    </fill>
    <fill>
      <patternFill patternType="solid">
        <fgColor theme="7" tint="0.39997558519241921"/>
        <bgColor indexed="64"/>
      </patternFill>
    </fill>
    <fill>
      <patternFill patternType="solid">
        <fgColor theme="5" tint="0.79998168889431442"/>
        <bgColor indexed="64"/>
      </patternFill>
    </fill>
    <fill>
      <patternFill patternType="solid">
        <fgColor rgb="FFF2F2F2"/>
        <bgColor indexed="64"/>
      </patternFill>
    </fill>
    <fill>
      <patternFill patternType="solid">
        <fgColor theme="8" tint="0.59999389629810485"/>
        <bgColor indexed="64"/>
      </patternFill>
    </fill>
    <fill>
      <patternFill patternType="solid">
        <fgColor theme="9" tint="0.39997558519241921"/>
        <bgColor indexed="64"/>
      </patternFill>
    </fill>
    <fill>
      <patternFill patternType="solid">
        <fgColor rgb="FF0070C0"/>
        <bgColor indexed="64"/>
      </patternFill>
    </fill>
    <fill>
      <patternFill patternType="solid">
        <fgColor theme="5" tint="0.39997558519241921"/>
        <bgColor indexed="64"/>
      </patternFill>
    </fill>
    <fill>
      <patternFill patternType="solid">
        <fgColor rgb="FF00FF00"/>
        <bgColor indexed="64"/>
      </patternFill>
    </fill>
    <fill>
      <patternFill patternType="solid">
        <fgColor theme="4" tint="0.39997558519241921"/>
        <bgColor indexed="64"/>
      </patternFill>
    </fill>
    <fill>
      <patternFill patternType="solid">
        <fgColor theme="0" tint="-0.249977111117893"/>
        <bgColor indexed="64"/>
      </patternFill>
    </fill>
    <fill>
      <patternFill patternType="solid">
        <fgColor rgb="FFC00000"/>
        <bgColor indexed="64"/>
      </patternFill>
    </fill>
    <fill>
      <patternFill patternType="solid">
        <fgColor rgb="FF7030A0"/>
        <bgColor indexed="64"/>
      </patternFill>
    </fill>
    <fill>
      <patternFill patternType="solid">
        <fgColor theme="2" tint="-0.249977111117893"/>
        <bgColor indexed="64"/>
      </patternFill>
    </fill>
    <fill>
      <patternFill patternType="solid">
        <fgColor theme="6" tint="0.59999389629810485"/>
        <bgColor indexed="64"/>
      </patternFill>
    </fill>
    <fill>
      <patternFill patternType="solid">
        <fgColor theme="0"/>
        <bgColor indexed="64"/>
      </patternFill>
    </fill>
    <fill>
      <patternFill patternType="gray0625">
        <bgColor rgb="FFFFFF00"/>
      </patternFill>
    </fill>
    <fill>
      <patternFill patternType="solid">
        <fgColor theme="1" tint="0.499984740745262"/>
        <bgColor indexed="64"/>
      </patternFill>
    </fill>
  </fills>
  <borders count="196">
    <border>
      <left/>
      <right/>
      <top/>
      <bottom/>
      <diagonal/>
    </border>
    <border>
      <left style="thick">
        <color auto="1"/>
      </left>
      <right style="thick">
        <color auto="1"/>
      </right>
      <top style="thick">
        <color auto="1"/>
      </top>
      <bottom style="thick">
        <color auto="1"/>
      </bottom>
      <diagonal/>
    </border>
    <border>
      <left style="thick">
        <color auto="1"/>
      </left>
      <right/>
      <top style="thick">
        <color auto="1"/>
      </top>
      <bottom/>
      <diagonal/>
    </border>
    <border>
      <left style="thick">
        <color auto="1"/>
      </left>
      <right/>
      <top/>
      <bottom/>
      <diagonal/>
    </border>
    <border>
      <left style="thick">
        <color auto="1"/>
      </left>
      <right style="thick">
        <color auto="1"/>
      </right>
      <top style="thick">
        <color auto="1"/>
      </top>
      <bottom style="thin">
        <color auto="1"/>
      </bottom>
      <diagonal/>
    </border>
    <border>
      <left style="thick">
        <color auto="1"/>
      </left>
      <right style="thick">
        <color auto="1"/>
      </right>
      <top style="thin">
        <color auto="1"/>
      </top>
      <bottom style="thin">
        <color auto="1"/>
      </bottom>
      <diagonal/>
    </border>
    <border>
      <left style="thick">
        <color auto="1"/>
      </left>
      <right style="thick">
        <color auto="1"/>
      </right>
      <top style="thin">
        <color auto="1"/>
      </top>
      <bottom style="thick">
        <color auto="1"/>
      </bottom>
      <diagonal/>
    </border>
    <border>
      <left style="thick">
        <color auto="1"/>
      </left>
      <right style="thick">
        <color auto="1"/>
      </right>
      <top/>
      <bottom style="thin">
        <color auto="1"/>
      </bottom>
      <diagonal/>
    </border>
    <border>
      <left style="thick">
        <color auto="1"/>
      </left>
      <right style="thick">
        <color auto="1"/>
      </right>
      <top style="thin">
        <color auto="1"/>
      </top>
      <bottom/>
      <diagonal/>
    </border>
    <border>
      <left style="thick">
        <color auto="1"/>
      </left>
      <right/>
      <top style="thick">
        <color auto="1"/>
      </top>
      <bottom style="thin">
        <color auto="1"/>
      </bottom>
      <diagonal/>
    </border>
    <border>
      <left/>
      <right style="thick">
        <color auto="1"/>
      </right>
      <top style="thin">
        <color auto="1"/>
      </top>
      <bottom style="thin">
        <color auto="1"/>
      </bottom>
      <diagonal/>
    </border>
    <border>
      <left/>
      <right style="thick">
        <color auto="1"/>
      </right>
      <top style="thick">
        <color auto="1"/>
      </top>
      <bottom style="thin">
        <color auto="1"/>
      </bottom>
      <diagonal/>
    </border>
    <border>
      <left style="thick">
        <color auto="1"/>
      </left>
      <right style="thin">
        <color auto="1"/>
      </right>
      <top style="thin">
        <color auto="1"/>
      </top>
      <bottom style="thick">
        <color auto="1"/>
      </bottom>
      <diagonal/>
    </border>
    <border>
      <left style="thin">
        <color auto="1"/>
      </left>
      <right style="thick">
        <color auto="1"/>
      </right>
      <top style="thin">
        <color auto="1"/>
      </top>
      <bottom style="thick">
        <color auto="1"/>
      </bottom>
      <diagonal/>
    </border>
    <border>
      <left/>
      <right style="thick">
        <color auto="1"/>
      </right>
      <top/>
      <bottom/>
      <diagonal/>
    </border>
    <border>
      <left style="thick">
        <color auto="1"/>
      </left>
      <right style="thin">
        <color auto="1"/>
      </right>
      <top style="thick">
        <color auto="1"/>
      </top>
      <bottom style="thick">
        <color auto="1"/>
      </bottom>
      <diagonal/>
    </border>
    <border>
      <left/>
      <right style="thick">
        <color auto="1"/>
      </right>
      <top style="thick">
        <color auto="1"/>
      </top>
      <bottom/>
      <diagonal/>
    </border>
    <border>
      <left style="thick">
        <color auto="1"/>
      </left>
      <right style="thin">
        <color auto="1"/>
      </right>
      <top style="thick">
        <color auto="1"/>
      </top>
      <bottom style="thin">
        <color auto="1"/>
      </bottom>
      <diagonal/>
    </border>
    <border>
      <left style="thin">
        <color auto="1"/>
      </left>
      <right style="thick">
        <color auto="1"/>
      </right>
      <top style="thick">
        <color auto="1"/>
      </top>
      <bottom style="thin">
        <color auto="1"/>
      </bottom>
      <diagonal/>
    </border>
    <border>
      <left style="thick">
        <color auto="1"/>
      </left>
      <right/>
      <top/>
      <bottom style="thick">
        <color auto="1"/>
      </bottom>
      <diagonal/>
    </border>
    <border>
      <left/>
      <right style="thick">
        <color auto="1"/>
      </right>
      <top/>
      <bottom style="thick">
        <color auto="1"/>
      </bottom>
      <diagonal/>
    </border>
    <border>
      <left style="thick">
        <color auto="1"/>
      </left>
      <right/>
      <top style="thick">
        <color auto="1"/>
      </top>
      <bottom style="thick">
        <color auto="1"/>
      </bottom>
      <diagonal/>
    </border>
    <border>
      <left style="thick">
        <color auto="1"/>
      </left>
      <right style="thick">
        <color auto="1"/>
      </right>
      <top/>
      <bottom style="thick">
        <color auto="1"/>
      </bottom>
      <diagonal/>
    </border>
    <border>
      <left/>
      <right/>
      <top style="thin">
        <color auto="1"/>
      </top>
      <bottom style="thin">
        <color auto="1"/>
      </bottom>
      <diagonal/>
    </border>
    <border>
      <left/>
      <right/>
      <top style="thick">
        <color auto="1"/>
      </top>
      <bottom style="thin">
        <color auto="1"/>
      </bottom>
      <diagonal/>
    </border>
    <border>
      <left style="thick">
        <color auto="1"/>
      </left>
      <right/>
      <top style="thin">
        <color auto="1"/>
      </top>
      <bottom style="thin">
        <color auto="1"/>
      </bottom>
      <diagonal/>
    </border>
    <border>
      <left style="thick">
        <color auto="1"/>
      </left>
      <right/>
      <top style="thin">
        <color auto="1"/>
      </top>
      <bottom style="thick">
        <color auto="1"/>
      </bottom>
      <diagonal/>
    </border>
    <border>
      <left/>
      <right/>
      <top style="thin">
        <color auto="1"/>
      </top>
      <bottom style="thick">
        <color auto="1"/>
      </bottom>
      <diagonal/>
    </border>
    <border>
      <left/>
      <right style="thick">
        <color auto="1"/>
      </right>
      <top style="thin">
        <color auto="1"/>
      </top>
      <bottom style="thick">
        <color auto="1"/>
      </bottom>
      <diagonal/>
    </border>
    <border>
      <left style="thick">
        <color auto="1"/>
      </left>
      <right/>
      <top/>
      <bottom style="thin">
        <color auto="1"/>
      </bottom>
      <diagonal/>
    </border>
    <border>
      <left/>
      <right style="thick">
        <color auto="1"/>
      </right>
      <top/>
      <bottom style="thin">
        <color auto="1"/>
      </bottom>
      <diagonal/>
    </border>
    <border>
      <left style="thick">
        <color auto="1"/>
      </left>
      <right style="thin">
        <color auto="1"/>
      </right>
      <top/>
      <bottom style="thick">
        <color auto="1"/>
      </bottom>
      <diagonal/>
    </border>
    <border>
      <left/>
      <right style="thick">
        <color auto="1"/>
      </right>
      <top style="thick">
        <color auto="1"/>
      </top>
      <bottom style="thick">
        <color auto="1"/>
      </bottom>
      <diagonal/>
    </border>
    <border>
      <left/>
      <right/>
      <top style="thick">
        <color auto="1"/>
      </top>
      <bottom style="thick">
        <color auto="1"/>
      </bottom>
      <diagonal/>
    </border>
    <border>
      <left/>
      <right/>
      <top style="thick">
        <color auto="1"/>
      </top>
      <bottom/>
      <diagonal/>
    </border>
    <border>
      <left style="thick">
        <color auto="1"/>
      </left>
      <right style="thin">
        <color auto="1"/>
      </right>
      <top style="thin">
        <color auto="1"/>
      </top>
      <bottom style="thin">
        <color auto="1"/>
      </bottom>
      <diagonal/>
    </border>
    <border>
      <left style="thin">
        <color auto="1"/>
      </left>
      <right style="thick">
        <color auto="1"/>
      </right>
      <top style="thin">
        <color auto="1"/>
      </top>
      <bottom style="thin">
        <color auto="1"/>
      </bottom>
      <diagonal/>
    </border>
    <border>
      <left style="thick">
        <color auto="1"/>
      </left>
      <right style="thin">
        <color auto="1"/>
      </right>
      <top style="thick">
        <color auto="1"/>
      </top>
      <bottom/>
      <diagonal/>
    </border>
    <border>
      <left style="thin">
        <color auto="1"/>
      </left>
      <right style="thick">
        <color auto="1"/>
      </right>
      <top style="thick">
        <color auto="1"/>
      </top>
      <bottom/>
      <diagonal/>
    </border>
    <border>
      <left style="thin">
        <color auto="1"/>
      </left>
      <right/>
      <top style="thick">
        <color auto="1"/>
      </top>
      <bottom style="thick">
        <color auto="1"/>
      </bottom>
      <diagonal/>
    </border>
    <border>
      <left style="thick">
        <color auto="1"/>
      </left>
      <right style="thick">
        <color auto="1"/>
      </right>
      <top style="thick">
        <color auto="1"/>
      </top>
      <bottom/>
      <diagonal/>
    </border>
    <border>
      <left style="thick">
        <color auto="1"/>
      </left>
      <right style="thick">
        <color auto="1"/>
      </right>
      <top/>
      <bottom/>
      <diagonal/>
    </border>
    <border>
      <left/>
      <right/>
      <top/>
      <bottom style="thick">
        <color auto="1"/>
      </bottom>
      <diagonal/>
    </border>
    <border>
      <left/>
      <right style="thin">
        <color auto="1"/>
      </right>
      <top style="thick">
        <color auto="1"/>
      </top>
      <bottom style="thick">
        <color auto="1"/>
      </bottom>
      <diagonal/>
    </border>
    <border>
      <left/>
      <right/>
      <top/>
      <bottom style="thin">
        <color auto="1"/>
      </bottom>
      <diagonal/>
    </border>
    <border>
      <left/>
      <right/>
      <top style="thin">
        <color auto="1"/>
      </top>
      <bottom/>
      <diagonal/>
    </border>
    <border>
      <left/>
      <right style="thin">
        <color auto="1"/>
      </right>
      <top style="thin">
        <color auto="1"/>
      </top>
      <bottom style="thin">
        <color auto="1"/>
      </bottom>
      <diagonal/>
    </border>
    <border>
      <left style="thick">
        <color auto="1"/>
      </left>
      <right style="thin">
        <color auto="1"/>
      </right>
      <top/>
      <bottom/>
      <diagonal/>
    </border>
    <border>
      <left style="thin">
        <color auto="1"/>
      </left>
      <right style="thin">
        <color auto="1"/>
      </right>
      <top/>
      <bottom/>
      <diagonal/>
    </border>
    <border>
      <left style="thin">
        <color auto="1"/>
      </left>
      <right style="thin">
        <color auto="1"/>
      </right>
      <top style="thin">
        <color auto="1"/>
      </top>
      <bottom style="thin">
        <color auto="1"/>
      </bottom>
      <diagonal/>
    </border>
    <border>
      <left style="thin">
        <color auto="1"/>
      </left>
      <right style="thick">
        <color auto="1"/>
      </right>
      <top/>
      <bottom/>
      <diagonal/>
    </border>
    <border>
      <left style="thin">
        <color auto="1"/>
      </left>
      <right style="thin">
        <color auto="1"/>
      </right>
      <top style="thick">
        <color auto="1"/>
      </top>
      <bottom style="thin">
        <color auto="1"/>
      </bottom>
      <diagonal/>
    </border>
    <border>
      <left/>
      <right style="thin">
        <color auto="1"/>
      </right>
      <top style="thick">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style="thick">
        <color auto="1"/>
      </bottom>
      <diagonal/>
    </border>
    <border>
      <left style="thin">
        <color auto="1"/>
      </left>
      <right/>
      <top/>
      <bottom style="thick">
        <color auto="1"/>
      </bottom>
      <diagonal/>
    </border>
    <border>
      <left style="thin">
        <color auto="1"/>
      </left>
      <right style="thin">
        <color auto="1"/>
      </right>
      <top style="thick">
        <color auto="1"/>
      </top>
      <bottom/>
      <diagonal/>
    </border>
    <border>
      <left style="thick">
        <color auto="1"/>
      </left>
      <right style="thin">
        <color auto="1"/>
      </right>
      <top/>
      <bottom style="thin">
        <color auto="1"/>
      </bottom>
      <diagonal/>
    </border>
    <border>
      <left style="thin">
        <color auto="1"/>
      </left>
      <right style="thin">
        <color auto="1"/>
      </right>
      <top/>
      <bottom style="thin">
        <color auto="1"/>
      </bottom>
      <diagonal/>
    </border>
    <border>
      <left style="thick">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thin">
        <color auto="1"/>
      </right>
      <top/>
      <bottom style="thick">
        <color auto="1"/>
      </bottom>
      <diagonal/>
    </border>
    <border>
      <left style="thin">
        <color auto="1"/>
      </left>
      <right style="thick">
        <color auto="1"/>
      </right>
      <top/>
      <bottom style="thin">
        <color auto="1"/>
      </bottom>
      <diagonal/>
    </border>
    <border>
      <left style="thick">
        <color auto="1"/>
      </left>
      <right/>
      <top style="thin">
        <color auto="1"/>
      </top>
      <bottom/>
      <diagonal/>
    </border>
    <border>
      <left/>
      <right style="thick">
        <color auto="1"/>
      </right>
      <top style="thin">
        <color auto="1"/>
      </top>
      <bottom/>
      <diagonal/>
    </border>
    <border>
      <left style="medium">
        <color auto="1"/>
      </left>
      <right/>
      <top style="thin">
        <color auto="1"/>
      </top>
      <bottom style="thin">
        <color auto="1"/>
      </bottom>
      <diagonal/>
    </border>
    <border>
      <left style="thin">
        <color auto="1"/>
      </left>
      <right/>
      <top style="thin">
        <color auto="1"/>
      </top>
      <bottom style="thin">
        <color auto="1"/>
      </bottom>
      <diagonal/>
    </border>
    <border>
      <left style="thin">
        <color auto="1"/>
      </left>
      <right/>
      <top style="thin">
        <color auto="1"/>
      </top>
      <bottom style="thick">
        <color auto="1"/>
      </bottom>
      <diagonal/>
    </border>
    <border>
      <left style="thin">
        <color auto="1"/>
      </left>
      <right/>
      <top style="thick">
        <color auto="1"/>
      </top>
      <bottom style="thin">
        <color auto="1"/>
      </bottom>
      <diagonal/>
    </border>
    <border>
      <left style="medium">
        <color auto="1"/>
      </left>
      <right style="thick">
        <color auto="1"/>
      </right>
      <top style="thick">
        <color auto="1"/>
      </top>
      <bottom style="thin">
        <color auto="1"/>
      </bottom>
      <diagonal/>
    </border>
    <border>
      <left/>
      <right style="thin">
        <color auto="1"/>
      </right>
      <top style="thin">
        <color auto="1"/>
      </top>
      <bottom style="thick">
        <color auto="1"/>
      </bottom>
      <diagonal/>
    </border>
    <border>
      <left style="thin">
        <color auto="1"/>
      </left>
      <right/>
      <top style="thin">
        <color auto="1"/>
      </top>
      <bottom/>
      <diagonal/>
    </border>
    <border>
      <left style="medium">
        <color auto="1"/>
      </left>
      <right style="thick">
        <color auto="1"/>
      </right>
      <top style="thin">
        <color auto="1"/>
      </top>
      <bottom/>
      <diagonal/>
    </border>
    <border>
      <left style="thin">
        <color auto="1"/>
      </left>
      <right style="thin">
        <color auto="1"/>
      </right>
      <top style="thick">
        <color auto="1"/>
      </top>
      <bottom style="thick">
        <color auto="1"/>
      </bottom>
      <diagonal/>
    </border>
    <border>
      <left style="thin">
        <color auto="1"/>
      </left>
      <right style="thick">
        <color auto="1"/>
      </right>
      <top style="thick">
        <color auto="1"/>
      </top>
      <bottom style="thick">
        <color auto="1"/>
      </bottom>
      <diagonal/>
    </border>
    <border>
      <left style="thin">
        <color auto="1"/>
      </left>
      <right style="thick">
        <color auto="1"/>
      </right>
      <top/>
      <bottom style="thick">
        <color auto="1"/>
      </bottom>
      <diagonal/>
    </border>
    <border>
      <left style="medium">
        <color auto="1"/>
      </left>
      <right style="thick">
        <color auto="1"/>
      </right>
      <top style="thin">
        <color auto="1"/>
      </top>
      <bottom style="thin">
        <color auto="1"/>
      </bottom>
      <diagonal/>
    </border>
    <border>
      <left style="medium">
        <color auto="1"/>
      </left>
      <right style="thick">
        <color auto="1"/>
      </right>
      <top style="thin">
        <color auto="1"/>
      </top>
      <bottom style="thick">
        <color auto="1"/>
      </bottom>
      <diagonal/>
    </border>
    <border>
      <left style="medium">
        <color auto="1"/>
      </left>
      <right style="thick">
        <color auto="1"/>
      </right>
      <top style="thick">
        <color auto="1"/>
      </top>
      <bottom/>
      <diagonal/>
    </border>
    <border>
      <left style="medium">
        <color auto="1"/>
      </left>
      <right style="thick">
        <color auto="1"/>
      </right>
      <top/>
      <bottom style="thick">
        <color auto="1"/>
      </bottom>
      <diagonal/>
    </border>
    <border>
      <left style="medium">
        <color auto="1"/>
      </left>
      <right style="thick">
        <color auto="1"/>
      </right>
      <top/>
      <bottom style="thin">
        <color auto="1"/>
      </bottom>
      <diagonal/>
    </border>
    <border>
      <left style="thick">
        <color auto="1"/>
      </left>
      <right/>
      <top style="thick">
        <color auto="1"/>
      </top>
      <bottom style="dotted">
        <color auto="1"/>
      </bottom>
      <diagonal/>
    </border>
    <border>
      <left style="thick">
        <color auto="1"/>
      </left>
      <right/>
      <top style="dotted">
        <color auto="1"/>
      </top>
      <bottom style="dotted">
        <color auto="1"/>
      </bottom>
      <diagonal/>
    </border>
    <border>
      <left/>
      <right style="thin">
        <color auto="1"/>
      </right>
      <top style="thick">
        <color auto="1"/>
      </top>
      <bottom style="thin">
        <color auto="1"/>
      </bottom>
      <diagonal/>
    </border>
    <border>
      <left style="thick">
        <color auto="1"/>
      </left>
      <right/>
      <top style="dotted">
        <color auto="1"/>
      </top>
      <bottom style="thick">
        <color auto="1"/>
      </bottom>
      <diagonal/>
    </border>
    <border>
      <left style="medium">
        <color rgb="FF000000"/>
      </left>
      <right style="thick">
        <color auto="1"/>
      </right>
      <top style="medium">
        <color rgb="FF000000"/>
      </top>
      <bottom style="medium">
        <color rgb="FF000000"/>
      </bottom>
      <diagonal/>
    </border>
    <border>
      <left style="thick">
        <color auto="1"/>
      </left>
      <right style="thick">
        <color auto="1"/>
      </right>
      <top style="thick">
        <color auto="1"/>
      </top>
      <bottom style="dotted">
        <color auto="1"/>
      </bottom>
      <diagonal/>
    </border>
    <border>
      <left style="thick">
        <color auto="1"/>
      </left>
      <right style="thick">
        <color auto="1"/>
      </right>
      <top style="dotted">
        <color auto="1"/>
      </top>
      <bottom style="thin">
        <color auto="1"/>
      </bottom>
      <diagonal/>
    </border>
    <border>
      <left style="thick">
        <color auto="1"/>
      </left>
      <right style="thick">
        <color auto="1"/>
      </right>
      <top style="thin">
        <color auto="1"/>
      </top>
      <bottom style="dotted">
        <color auto="1"/>
      </bottom>
      <diagonal/>
    </border>
    <border>
      <left style="thick">
        <color auto="1"/>
      </left>
      <right style="thick">
        <color auto="1"/>
      </right>
      <top style="dotted">
        <color auto="1"/>
      </top>
      <bottom style="thick">
        <color auto="1"/>
      </bottom>
      <diagonal/>
    </border>
    <border>
      <left style="thick">
        <color auto="1"/>
      </left>
      <right style="thick">
        <color auto="1"/>
      </right>
      <top/>
      <bottom style="dotted">
        <color auto="1"/>
      </bottom>
      <diagonal/>
    </border>
    <border>
      <left style="thick">
        <color auto="1"/>
      </left>
      <right style="thick">
        <color auto="1"/>
      </right>
      <top style="dotted">
        <color auto="1"/>
      </top>
      <bottom/>
      <diagonal/>
    </border>
    <border>
      <left style="thin">
        <color auto="1"/>
      </left>
      <right style="thick">
        <color auto="1"/>
      </right>
      <top style="thin">
        <color auto="1"/>
      </top>
      <bottom/>
      <diagonal/>
    </border>
    <border>
      <left style="thick">
        <color rgb="FF7030A0"/>
      </left>
      <right style="thin">
        <color auto="1"/>
      </right>
      <top style="thick">
        <color rgb="FF7030A0"/>
      </top>
      <bottom style="thin">
        <color auto="1"/>
      </bottom>
      <diagonal/>
    </border>
    <border>
      <left style="thin">
        <color auto="1"/>
      </left>
      <right style="thick">
        <color rgb="FF7030A0"/>
      </right>
      <top style="thick">
        <color rgb="FF7030A0"/>
      </top>
      <bottom style="thin">
        <color auto="1"/>
      </bottom>
      <diagonal/>
    </border>
    <border>
      <left style="thick">
        <color rgb="FF7030A0"/>
      </left>
      <right style="thin">
        <color auto="1"/>
      </right>
      <top style="thin">
        <color auto="1"/>
      </top>
      <bottom style="thin">
        <color auto="1"/>
      </bottom>
      <diagonal/>
    </border>
    <border>
      <left style="thin">
        <color auto="1"/>
      </left>
      <right style="thick">
        <color rgb="FF7030A0"/>
      </right>
      <top style="thin">
        <color auto="1"/>
      </top>
      <bottom style="thin">
        <color auto="1"/>
      </bottom>
      <diagonal/>
    </border>
    <border>
      <left style="thick">
        <color rgb="FF7030A0"/>
      </left>
      <right style="thin">
        <color auto="1"/>
      </right>
      <top style="thin">
        <color auto="1"/>
      </top>
      <bottom style="thick">
        <color rgb="FF7030A0"/>
      </bottom>
      <diagonal/>
    </border>
    <border>
      <left style="thin">
        <color auto="1"/>
      </left>
      <right style="thick">
        <color rgb="FF7030A0"/>
      </right>
      <top style="thin">
        <color auto="1"/>
      </top>
      <bottom style="thick">
        <color rgb="FF7030A0"/>
      </bottom>
      <diagonal/>
    </border>
    <border>
      <left style="thick">
        <color auto="1"/>
      </left>
      <right style="thick">
        <color auto="1"/>
      </right>
      <top style="thick">
        <color auto="1"/>
      </top>
      <bottom style="dashDot">
        <color auto="1"/>
      </bottom>
      <diagonal/>
    </border>
    <border>
      <left style="thick">
        <color auto="1"/>
      </left>
      <right style="thick">
        <color auto="1"/>
      </right>
      <top style="dashDot">
        <color auto="1"/>
      </top>
      <bottom style="thick">
        <color auto="1"/>
      </bottom>
      <diagonal/>
    </border>
    <border>
      <left style="thick">
        <color auto="1"/>
      </left>
      <right style="dotted">
        <color auto="1"/>
      </right>
      <top style="thick">
        <color auto="1"/>
      </top>
      <bottom style="thick">
        <color auto="1"/>
      </bottom>
      <diagonal/>
    </border>
    <border>
      <left style="dotted">
        <color auto="1"/>
      </left>
      <right style="dotted">
        <color auto="1"/>
      </right>
      <top style="thick">
        <color auto="1"/>
      </top>
      <bottom style="thick">
        <color auto="1"/>
      </bottom>
      <diagonal/>
    </border>
    <border>
      <left style="dotted">
        <color auto="1"/>
      </left>
      <right style="thick">
        <color auto="1"/>
      </right>
      <top style="thick">
        <color auto="1"/>
      </top>
      <bottom style="thick">
        <color auto="1"/>
      </bottom>
      <diagonal/>
    </border>
    <border>
      <left style="thick">
        <color auto="1"/>
      </left>
      <right style="dotted">
        <color auto="1"/>
      </right>
      <top/>
      <bottom style="thick">
        <color auto="1"/>
      </bottom>
      <diagonal/>
    </border>
    <border>
      <left style="dotted">
        <color auto="1"/>
      </left>
      <right style="dotted">
        <color auto="1"/>
      </right>
      <top/>
      <bottom style="thick">
        <color auto="1"/>
      </bottom>
      <diagonal/>
    </border>
    <border>
      <left style="dotted">
        <color auto="1"/>
      </left>
      <right style="thick">
        <color auto="1"/>
      </right>
      <top/>
      <bottom style="thick">
        <color auto="1"/>
      </bottom>
      <diagonal/>
    </border>
    <border>
      <left/>
      <right style="dotted">
        <color auto="1"/>
      </right>
      <top/>
      <bottom/>
      <diagonal/>
    </border>
    <border>
      <left style="dotted">
        <color auto="1"/>
      </left>
      <right style="dotted">
        <color auto="1"/>
      </right>
      <top/>
      <bottom/>
      <diagonal/>
    </border>
    <border>
      <left style="dotted">
        <color auto="1"/>
      </left>
      <right/>
      <top/>
      <bottom/>
      <diagonal/>
    </border>
    <border>
      <left style="thick">
        <color auto="1"/>
      </left>
      <right style="thick">
        <color auto="1"/>
      </right>
      <top style="dotted">
        <color auto="1"/>
      </top>
      <bottom style="dotted">
        <color auto="1"/>
      </bottom>
      <diagonal/>
    </border>
    <border>
      <left style="slantDashDot">
        <color auto="1"/>
      </left>
      <right style="slantDashDot">
        <color auto="1"/>
      </right>
      <top style="slantDashDot">
        <color auto="1"/>
      </top>
      <bottom style="slantDashDot">
        <color auto="1"/>
      </bottom>
      <diagonal/>
    </border>
    <border>
      <left/>
      <right style="dotted">
        <color auto="1"/>
      </right>
      <top/>
      <bottom style="thick">
        <color auto="1"/>
      </bottom>
      <diagonal/>
    </border>
    <border>
      <left style="thick">
        <color auto="1"/>
      </left>
      <right style="thick">
        <color auto="1"/>
      </right>
      <top style="thick">
        <color auto="1"/>
      </top>
      <bottom style="dashDotDot">
        <color auto="1"/>
      </bottom>
      <diagonal/>
    </border>
    <border>
      <left style="thick">
        <color auto="1"/>
      </left>
      <right/>
      <top style="thick">
        <color auto="1"/>
      </top>
      <bottom style="medium">
        <color auto="1"/>
      </bottom>
      <diagonal/>
    </border>
    <border>
      <left/>
      <right/>
      <top style="thick">
        <color auto="1"/>
      </top>
      <bottom style="medium">
        <color auto="1"/>
      </bottom>
      <diagonal/>
    </border>
    <border>
      <left/>
      <right style="thick">
        <color auto="1"/>
      </right>
      <top style="thick">
        <color auto="1"/>
      </top>
      <bottom style="medium">
        <color auto="1"/>
      </bottom>
      <diagonal/>
    </border>
    <border>
      <left style="medium">
        <color auto="1"/>
      </left>
      <right/>
      <top/>
      <bottom/>
      <diagonal/>
    </border>
    <border>
      <left style="thick">
        <color auto="1"/>
      </left>
      <right style="medium">
        <color auto="1"/>
      </right>
      <top style="thick">
        <color auto="1"/>
      </top>
      <bottom/>
      <diagonal/>
    </border>
    <border>
      <left/>
      <right style="medium">
        <color auto="1"/>
      </right>
      <top/>
      <bottom/>
      <diagonal/>
    </border>
    <border>
      <left/>
      <right style="thin">
        <color auto="1"/>
      </right>
      <top style="thin">
        <color auto="1"/>
      </top>
      <bottom/>
      <diagonal/>
    </border>
    <border>
      <left style="medium">
        <color auto="1"/>
      </left>
      <right style="medium">
        <color auto="1"/>
      </right>
      <top style="medium">
        <color auto="1"/>
      </top>
      <bottom style="thick">
        <color auto="1"/>
      </bottom>
      <diagonal/>
    </border>
    <border>
      <left style="medium">
        <color auto="1"/>
      </left>
      <right style="medium">
        <color auto="1"/>
      </right>
      <top style="medium">
        <color auto="1"/>
      </top>
      <bottom style="medium">
        <color auto="1"/>
      </bottom>
      <diagonal/>
    </border>
    <border>
      <left style="thick">
        <color auto="1"/>
      </left>
      <right style="medium">
        <color auto="1"/>
      </right>
      <top style="thick">
        <color auto="1"/>
      </top>
      <bottom style="medium">
        <color auto="1"/>
      </bottom>
      <diagonal/>
    </border>
    <border>
      <left style="medium">
        <color auto="1"/>
      </left>
      <right style="thick">
        <color auto="1"/>
      </right>
      <top style="thick">
        <color auto="1"/>
      </top>
      <bottom style="medium">
        <color auto="1"/>
      </bottom>
      <diagonal/>
    </border>
    <border>
      <left style="thick">
        <color auto="1"/>
      </left>
      <right style="medium">
        <color auto="1"/>
      </right>
      <top style="medium">
        <color auto="1"/>
      </top>
      <bottom style="medium">
        <color auto="1"/>
      </bottom>
      <diagonal/>
    </border>
    <border>
      <left style="medium">
        <color auto="1"/>
      </left>
      <right style="thick">
        <color auto="1"/>
      </right>
      <top style="medium">
        <color auto="1"/>
      </top>
      <bottom style="medium">
        <color auto="1"/>
      </bottom>
      <diagonal/>
    </border>
    <border>
      <left style="thick">
        <color auto="1"/>
      </left>
      <right style="medium">
        <color auto="1"/>
      </right>
      <top style="medium">
        <color auto="1"/>
      </top>
      <bottom style="thick">
        <color auto="1"/>
      </bottom>
      <diagonal/>
    </border>
    <border>
      <left style="medium">
        <color auto="1"/>
      </left>
      <right style="thick">
        <color auto="1"/>
      </right>
      <top style="medium">
        <color auto="1"/>
      </top>
      <bottom style="thick">
        <color auto="1"/>
      </bottom>
      <diagonal/>
    </border>
    <border>
      <left style="medium">
        <color auto="1"/>
      </left>
      <right/>
      <top style="medium">
        <color auto="1"/>
      </top>
      <bottom style="thick">
        <color auto="1"/>
      </bottom>
      <diagonal/>
    </border>
    <border>
      <left style="thick">
        <color auto="1"/>
      </left>
      <right style="thick">
        <color auto="1"/>
      </right>
      <top style="thick">
        <color auto="1"/>
      </top>
      <bottom style="medium">
        <color auto="1"/>
      </bottom>
      <diagonal/>
    </border>
    <border>
      <left style="thick">
        <color auto="1"/>
      </left>
      <right style="thick">
        <color auto="1"/>
      </right>
      <top style="medium">
        <color auto="1"/>
      </top>
      <bottom style="medium">
        <color auto="1"/>
      </bottom>
      <diagonal/>
    </border>
    <border>
      <left style="thick">
        <color auto="1"/>
      </left>
      <right style="thick">
        <color auto="1"/>
      </right>
      <top style="medium">
        <color auto="1"/>
      </top>
      <bottom style="thick">
        <color auto="1"/>
      </bottom>
      <diagonal/>
    </border>
    <border>
      <left style="mediumDashed">
        <color auto="1"/>
      </left>
      <right style="thick">
        <color auto="1"/>
      </right>
      <top style="thick">
        <color auto="1"/>
      </top>
      <bottom style="thin">
        <color auto="1"/>
      </bottom>
      <diagonal/>
    </border>
    <border>
      <left/>
      <right style="mediumDashed">
        <color auto="1"/>
      </right>
      <top/>
      <bottom/>
      <diagonal/>
    </border>
    <border>
      <left style="mediumDashed">
        <color auto="1"/>
      </left>
      <right style="thick">
        <color auto="1"/>
      </right>
      <top/>
      <bottom style="thin">
        <color auto="1"/>
      </bottom>
      <diagonal/>
    </border>
    <border>
      <left style="mediumDashed">
        <color auto="1"/>
      </left>
      <right style="thick">
        <color auto="1"/>
      </right>
      <top style="thin">
        <color auto="1"/>
      </top>
      <bottom style="thin">
        <color auto="1"/>
      </bottom>
      <diagonal/>
    </border>
    <border>
      <left style="mediumDashed">
        <color auto="1"/>
      </left>
      <right style="thick">
        <color auto="1"/>
      </right>
      <top style="thin">
        <color auto="1"/>
      </top>
      <bottom/>
      <diagonal/>
    </border>
    <border>
      <left style="mediumDashed">
        <color auto="1"/>
      </left>
      <right/>
      <top/>
      <bottom style="mediumDashed">
        <color auto="1"/>
      </bottom>
      <diagonal/>
    </border>
    <border>
      <left/>
      <right/>
      <top/>
      <bottom style="mediumDashed">
        <color auto="1"/>
      </bottom>
      <diagonal/>
    </border>
    <border>
      <left/>
      <right style="mediumDashed">
        <color auto="1"/>
      </right>
      <top/>
      <bottom style="mediumDashed">
        <color auto="1"/>
      </bottom>
      <diagonal/>
    </border>
    <border>
      <left/>
      <right style="mediumDashed">
        <color auto="1"/>
      </right>
      <top style="mediumDashed">
        <color auto="1"/>
      </top>
      <bottom/>
      <diagonal/>
    </border>
    <border>
      <left style="mediumDashed">
        <color auto="1"/>
      </left>
      <right/>
      <top style="mediumDashed">
        <color auto="1"/>
      </top>
      <bottom/>
      <diagonal/>
    </border>
    <border>
      <left/>
      <right/>
      <top style="mediumDashed">
        <color auto="1"/>
      </top>
      <bottom/>
      <diagonal/>
    </border>
    <border>
      <left style="mediumDashed">
        <color auto="1"/>
      </left>
      <right/>
      <top style="thick">
        <color auto="1"/>
      </top>
      <bottom style="thick">
        <color auto="1"/>
      </bottom>
      <diagonal/>
    </border>
    <border>
      <left style="thick">
        <color auto="1"/>
      </left>
      <right style="mediumDashed">
        <color auto="1"/>
      </right>
      <top style="thick">
        <color auto="1"/>
      </top>
      <bottom/>
      <diagonal/>
    </border>
    <border>
      <left/>
      <right style="mediumDashed">
        <color auto="1"/>
      </right>
      <top/>
      <bottom style="thick">
        <color auto="1"/>
      </bottom>
      <diagonal/>
    </border>
    <border>
      <left style="double">
        <color auto="1"/>
      </left>
      <right style="double">
        <color auto="1"/>
      </right>
      <top style="double">
        <color auto="1"/>
      </top>
      <bottom/>
      <diagonal/>
    </border>
    <border>
      <left style="double">
        <color auto="1"/>
      </left>
      <right style="double">
        <color auto="1"/>
      </right>
      <top/>
      <bottom/>
      <diagonal/>
    </border>
    <border>
      <left style="mediumDashed">
        <color auto="1"/>
      </left>
      <right style="thick">
        <color auto="1"/>
      </right>
      <top style="medium">
        <color auto="1"/>
      </top>
      <bottom style="medium">
        <color auto="1"/>
      </bottom>
      <diagonal/>
    </border>
    <border>
      <left/>
      <right style="mediumDashed">
        <color auto="1"/>
      </right>
      <top style="medium">
        <color auto="1"/>
      </top>
      <bottom style="medium">
        <color auto="1"/>
      </bottom>
      <diagonal/>
    </border>
    <border>
      <left style="medium">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medium">
        <color auto="1"/>
      </right>
      <top style="thin">
        <color auto="1"/>
      </top>
      <bottom style="thin">
        <color auto="1"/>
      </bottom>
      <diagonal/>
    </border>
    <border>
      <left style="thick">
        <color auto="1"/>
      </left>
      <right style="mediumDashed">
        <color auto="1"/>
      </right>
      <top style="thick">
        <color auto="1"/>
      </top>
      <bottom style="thick">
        <color auto="1"/>
      </bottom>
      <diagonal/>
    </border>
    <border>
      <left style="mediumDashed">
        <color auto="1"/>
      </left>
      <right style="thick">
        <color auto="1"/>
      </right>
      <top style="mediumDashed">
        <color auto="1"/>
      </top>
      <bottom style="medium">
        <color auto="1"/>
      </bottom>
      <diagonal/>
    </border>
    <border>
      <left style="double">
        <color auto="1"/>
      </left>
      <right/>
      <top style="double">
        <color auto="1"/>
      </top>
      <bottom/>
      <diagonal/>
    </border>
    <border>
      <left/>
      <right/>
      <top style="double">
        <color auto="1"/>
      </top>
      <bottom/>
      <diagonal/>
    </border>
    <border>
      <left/>
      <right style="double">
        <color auto="1"/>
      </right>
      <top style="double">
        <color auto="1"/>
      </top>
      <bottom/>
      <diagonal/>
    </border>
    <border>
      <left style="double">
        <color auto="1"/>
      </left>
      <right/>
      <top/>
      <bottom/>
      <diagonal/>
    </border>
    <border>
      <left/>
      <right style="double">
        <color auto="1"/>
      </right>
      <top/>
      <bottom/>
      <diagonal/>
    </border>
    <border>
      <left style="double">
        <color auto="1"/>
      </left>
      <right/>
      <top/>
      <bottom style="double">
        <color auto="1"/>
      </bottom>
      <diagonal/>
    </border>
    <border>
      <left/>
      <right/>
      <top/>
      <bottom style="double">
        <color auto="1"/>
      </bottom>
      <diagonal/>
    </border>
    <border>
      <left/>
      <right style="double">
        <color auto="1"/>
      </right>
      <top/>
      <bottom style="double">
        <color auto="1"/>
      </bottom>
      <diagonal/>
    </border>
    <border>
      <left style="double">
        <color auto="1"/>
      </left>
      <right/>
      <top/>
      <bottom style="thick">
        <color auto="1"/>
      </bottom>
      <diagonal/>
    </border>
    <border>
      <left/>
      <right style="double">
        <color auto="1"/>
      </right>
      <top/>
      <bottom style="thick">
        <color auto="1"/>
      </bottom>
      <diagonal/>
    </border>
    <border>
      <left style="thick">
        <color auto="1"/>
      </left>
      <right style="mediumDashed">
        <color auto="1"/>
      </right>
      <top style="thick">
        <color auto="1"/>
      </top>
      <bottom style="thin">
        <color auto="1"/>
      </bottom>
      <diagonal/>
    </border>
    <border>
      <left style="thick">
        <color auto="1"/>
      </left>
      <right style="mediumDashed">
        <color auto="1"/>
      </right>
      <top style="thin">
        <color auto="1"/>
      </top>
      <bottom style="thick">
        <color auto="1"/>
      </bottom>
      <diagonal/>
    </border>
    <border>
      <left style="mediumDashed">
        <color auto="1"/>
      </left>
      <right style="thick">
        <color auto="1"/>
      </right>
      <top style="thin">
        <color auto="1"/>
      </top>
      <bottom style="thick">
        <color auto="1"/>
      </bottom>
      <diagonal/>
    </border>
    <border>
      <left style="thick">
        <color auto="1"/>
      </left>
      <right style="mediumDashed">
        <color auto="1"/>
      </right>
      <top style="thin">
        <color auto="1"/>
      </top>
      <bottom style="thin">
        <color auto="1"/>
      </bottom>
      <diagonal/>
    </border>
    <border>
      <left style="mediumDashed">
        <color auto="1"/>
      </left>
      <right style="thick">
        <color auto="1"/>
      </right>
      <top/>
      <bottom/>
      <diagonal/>
    </border>
    <border>
      <left style="thick">
        <color auto="1"/>
      </left>
      <right style="mediumDashed">
        <color auto="1"/>
      </right>
      <top style="thin">
        <color auto="1"/>
      </top>
      <bottom/>
      <diagonal/>
    </border>
    <border>
      <left style="thick">
        <color auto="1"/>
      </left>
      <right style="mediumDashed">
        <color auto="1"/>
      </right>
      <top/>
      <bottom/>
      <diagonal/>
    </border>
    <border>
      <left style="thick">
        <color auto="1"/>
      </left>
      <right style="mediumDashed">
        <color auto="1"/>
      </right>
      <top/>
      <bottom style="thin">
        <color auto="1"/>
      </bottom>
      <diagonal/>
    </border>
    <border>
      <left style="mediumDashed">
        <color auto="1"/>
      </left>
      <right style="thick">
        <color auto="1"/>
      </right>
      <top style="thick">
        <color auto="1"/>
      </top>
      <bottom style="thick">
        <color auto="1"/>
      </bottom>
      <diagonal/>
    </border>
    <border>
      <left style="mediumDashed">
        <color auto="1"/>
      </left>
      <right style="thick">
        <color auto="1"/>
      </right>
      <top style="thick">
        <color auto="1"/>
      </top>
      <bottom/>
      <diagonal/>
    </border>
    <border>
      <left style="thin">
        <color auto="1"/>
      </left>
      <right style="mediumDashed">
        <color auto="1"/>
      </right>
      <top style="thick">
        <color auto="1"/>
      </top>
      <bottom style="thin">
        <color auto="1"/>
      </bottom>
      <diagonal/>
    </border>
    <border>
      <left/>
      <right style="mediumDashed">
        <color auto="1"/>
      </right>
      <top style="thin">
        <color auto="1"/>
      </top>
      <bottom/>
      <diagonal/>
    </border>
    <border>
      <left/>
      <right style="mediumDashed">
        <color auto="1"/>
      </right>
      <top style="thick">
        <color auto="1"/>
      </top>
      <bottom style="thin">
        <color auto="1"/>
      </bottom>
      <diagonal/>
    </border>
    <border>
      <left style="thick">
        <color auto="1"/>
      </left>
      <right style="double">
        <color auto="1"/>
      </right>
      <top style="thick">
        <color auto="1"/>
      </top>
      <bottom style="thin">
        <color auto="1"/>
      </bottom>
      <diagonal/>
    </border>
    <border>
      <left style="double">
        <color auto="1"/>
      </left>
      <right style="thick">
        <color auto="1"/>
      </right>
      <top style="thick">
        <color auto="1"/>
      </top>
      <bottom style="thick">
        <color auto="1"/>
      </bottom>
      <diagonal/>
    </border>
    <border>
      <left style="thick">
        <color auto="1"/>
      </left>
      <right style="double">
        <color auto="1"/>
      </right>
      <top style="thin">
        <color auto="1"/>
      </top>
      <bottom style="thin">
        <color auto="1"/>
      </bottom>
      <diagonal/>
    </border>
    <border>
      <left style="thin">
        <color auto="1"/>
      </left>
      <right style="double">
        <color auto="1"/>
      </right>
      <top style="thin">
        <color auto="1"/>
      </top>
      <bottom/>
      <diagonal/>
    </border>
    <border>
      <left style="double">
        <color auto="1"/>
      </left>
      <right/>
      <top style="medium">
        <color auto="1"/>
      </top>
      <bottom style="medium">
        <color auto="1"/>
      </bottom>
      <diagonal/>
    </border>
    <border>
      <left/>
      <right/>
      <top style="medium">
        <color auto="1"/>
      </top>
      <bottom style="medium">
        <color auto="1"/>
      </bottom>
      <diagonal/>
    </border>
    <border>
      <left/>
      <right style="double">
        <color auto="1"/>
      </right>
      <top style="medium">
        <color auto="1"/>
      </top>
      <bottom style="medium">
        <color auto="1"/>
      </bottom>
      <diagonal/>
    </border>
    <border>
      <left/>
      <right style="double">
        <color auto="1"/>
      </right>
      <top style="medium">
        <color auto="1"/>
      </top>
      <bottom style="thick">
        <color auto="1"/>
      </bottom>
      <diagonal/>
    </border>
    <border>
      <left style="thick">
        <color auto="1"/>
      </left>
      <right/>
      <top style="medium">
        <color auto="1"/>
      </top>
      <bottom style="thick">
        <color auto="1"/>
      </bottom>
      <diagonal/>
    </border>
    <border>
      <left/>
      <right style="thick">
        <color auto="1"/>
      </right>
      <top style="medium">
        <color auto="1"/>
      </top>
      <bottom style="thick">
        <color auto="1"/>
      </bottom>
      <diagonal/>
    </border>
    <border>
      <left style="thin">
        <color auto="1"/>
      </left>
      <right style="double">
        <color auto="1"/>
      </right>
      <top style="thin">
        <color auto="1"/>
      </top>
      <bottom style="thin">
        <color auto="1"/>
      </bottom>
      <diagonal/>
    </border>
    <border>
      <left/>
      <right style="thick">
        <color theme="0"/>
      </right>
      <top style="thick">
        <color theme="0"/>
      </top>
      <bottom style="thick">
        <color theme="0"/>
      </bottom>
      <diagonal/>
    </border>
  </borders>
  <cellStyleXfs count="2">
    <xf numFmtId="0" fontId="0" fillId="0" borderId="0"/>
    <xf numFmtId="0" fontId="4" fillId="0" borderId="0" applyNumberFormat="0" applyFill="0" applyBorder="0" applyAlignment="0" applyProtection="0"/>
  </cellStyleXfs>
  <cellXfs count="2623">
    <xf numFmtId="0" fontId="0" fillId="0" borderId="0" xfId="0"/>
    <xf numFmtId="0" fontId="2" fillId="0" borderId="0" xfId="0" applyFont="1" applyAlignment="1">
      <alignment horizontal="left" vertical="center"/>
    </xf>
    <xf numFmtId="0" fontId="3" fillId="2" borderId="5" xfId="0" applyFont="1" applyFill="1" applyBorder="1" applyAlignment="1">
      <alignment horizontal="left" vertical="center"/>
    </xf>
    <xf numFmtId="0" fontId="3" fillId="4" borderId="5" xfId="0" applyFont="1" applyFill="1" applyBorder="1" applyAlignment="1">
      <alignment horizontal="left" vertical="center"/>
    </xf>
    <xf numFmtId="0" fontId="0" fillId="0" borderId="1" xfId="0" applyBorder="1" applyAlignment="1">
      <alignment horizontal="center" vertical="center"/>
    </xf>
    <xf numFmtId="0" fontId="3" fillId="3" borderId="4" xfId="0" applyFont="1" applyFill="1" applyBorder="1" applyAlignment="1">
      <alignment horizontal="left" vertical="center"/>
    </xf>
    <xf numFmtId="0" fontId="1" fillId="0" borderId="0" xfId="0" applyFont="1"/>
    <xf numFmtId="0" fontId="0" fillId="6" borderId="5" xfId="0" applyFill="1" applyBorder="1" applyAlignment="1">
      <alignment horizontal="center" vertical="center"/>
    </xf>
    <xf numFmtId="0" fontId="3" fillId="6" borderId="7" xfId="0" applyFont="1" applyFill="1" applyBorder="1" applyAlignment="1">
      <alignment horizontal="left" vertical="center"/>
    </xf>
    <xf numFmtId="0" fontId="3" fillId="6" borderId="5" xfId="0" applyFont="1" applyFill="1" applyBorder="1" applyAlignment="1">
      <alignment horizontal="left" vertical="center"/>
    </xf>
    <xf numFmtId="0" fontId="3" fillId="3" borderId="7" xfId="0" applyFont="1" applyFill="1" applyBorder="1" applyAlignment="1">
      <alignment horizontal="left" vertical="center"/>
    </xf>
    <xf numFmtId="0" fontId="0" fillId="0" borderId="1" xfId="0" applyBorder="1"/>
    <xf numFmtId="0" fontId="3" fillId="2" borderId="4" xfId="0" applyFont="1" applyFill="1" applyBorder="1" applyAlignment="1">
      <alignment horizontal="left" vertical="center"/>
    </xf>
    <xf numFmtId="0" fontId="0" fillId="0" borderId="5" xfId="0" applyBorder="1"/>
    <xf numFmtId="0" fontId="0" fillId="0" borderId="6" xfId="0" applyBorder="1"/>
    <xf numFmtId="0" fontId="3" fillId="6" borderId="10" xfId="0" applyFont="1" applyFill="1" applyBorder="1" applyAlignment="1">
      <alignment horizontal="left" vertical="center"/>
    </xf>
    <xf numFmtId="0" fontId="0" fillId="5" borderId="12" xfId="0" applyFill="1" applyBorder="1"/>
    <xf numFmtId="0" fontId="4" fillId="0" borderId="0" xfId="1"/>
    <xf numFmtId="0" fontId="5" fillId="0" borderId="0" xfId="0" applyFont="1" applyAlignment="1">
      <alignment vertical="center"/>
    </xf>
    <xf numFmtId="0" fontId="6" fillId="0" borderId="0" xfId="1" applyFont="1"/>
    <xf numFmtId="0" fontId="0" fillId="0" borderId="5" xfId="0" applyBorder="1" applyAlignment="1">
      <alignment horizontal="center" vertical="center"/>
    </xf>
    <xf numFmtId="0" fontId="0" fillId="0" borderId="6" xfId="0" applyBorder="1" applyAlignment="1">
      <alignment horizontal="center" vertical="center"/>
    </xf>
    <xf numFmtId="0" fontId="0" fillId="7" borderId="11" xfId="0" applyFill="1" applyBorder="1"/>
    <xf numFmtId="0" fontId="0" fillId="0" borderId="0" xfId="0" applyAlignment="1">
      <alignment horizontal="center" vertical="center"/>
    </xf>
    <xf numFmtId="0" fontId="8" fillId="0" borderId="0" xfId="0" applyFont="1"/>
    <xf numFmtId="0" fontId="9" fillId="0" borderId="0" xfId="0" applyFont="1" applyAlignment="1">
      <alignment vertical="center"/>
    </xf>
    <xf numFmtId="0" fontId="0" fillId="7" borderId="0" xfId="0" applyFill="1"/>
    <xf numFmtId="0" fontId="4" fillId="0" borderId="0" xfId="1" applyAlignment="1">
      <alignment vertical="center"/>
    </xf>
    <xf numFmtId="0" fontId="4" fillId="3" borderId="0" xfId="1" applyFill="1"/>
    <xf numFmtId="0" fontId="0" fillId="3" borderId="0" xfId="0" applyFill="1"/>
    <xf numFmtId="0" fontId="9" fillId="3" borderId="0" xfId="0" applyFont="1" applyFill="1" applyAlignment="1">
      <alignment vertical="center"/>
    </xf>
    <xf numFmtId="0" fontId="0" fillId="0" borderId="0" xfId="0" applyAlignment="1">
      <alignment horizontal="center"/>
    </xf>
    <xf numFmtId="0" fontId="10" fillId="0" borderId="0" xfId="0" applyFont="1" applyAlignment="1">
      <alignment vertical="center"/>
    </xf>
    <xf numFmtId="0" fontId="11" fillId="0" borderId="0" xfId="0" applyFont="1"/>
    <xf numFmtId="0" fontId="12" fillId="0" borderId="0" xfId="0" applyFont="1" applyAlignment="1">
      <alignment vertical="center"/>
    </xf>
    <xf numFmtId="0" fontId="13" fillId="0" borderId="0" xfId="0" applyFont="1" applyAlignment="1">
      <alignment vertical="center"/>
    </xf>
    <xf numFmtId="0" fontId="0" fillId="5" borderId="22" xfId="0" applyFill="1" applyBorder="1" applyAlignment="1">
      <alignment horizontal="center" vertical="center"/>
    </xf>
    <xf numFmtId="49" fontId="0" fillId="0" borderId="25" xfId="0" applyNumberFormat="1" applyBorder="1"/>
    <xf numFmtId="0" fontId="0" fillId="0" borderId="0" xfId="0" applyAlignment="1">
      <alignment horizontal="right"/>
    </xf>
    <xf numFmtId="49" fontId="18" fillId="0" borderId="6" xfId="0" applyNumberFormat="1" applyFont="1" applyBorder="1"/>
    <xf numFmtId="49" fontId="18" fillId="0" borderId="5" xfId="0" applyNumberFormat="1" applyFont="1" applyBorder="1"/>
    <xf numFmtId="49" fontId="18" fillId="7" borderId="5" xfId="0" applyNumberFormat="1" applyFont="1" applyFill="1" applyBorder="1"/>
    <xf numFmtId="0" fontId="0" fillId="7" borderId="5" xfId="0" applyFill="1" applyBorder="1" applyAlignment="1">
      <alignment horizontal="center" vertical="center"/>
    </xf>
    <xf numFmtId="0" fontId="0" fillId="0" borderId="0" xfId="0" applyAlignment="1">
      <alignment horizontal="left" vertical="top"/>
    </xf>
    <xf numFmtId="0" fontId="1" fillId="0" borderId="31" xfId="0" applyFont="1" applyBorder="1"/>
    <xf numFmtId="49" fontId="0" fillId="0" borderId="0" xfId="0" applyNumberFormat="1"/>
    <xf numFmtId="0" fontId="0" fillId="0" borderId="25" xfId="0" applyBorder="1"/>
    <xf numFmtId="0" fontId="0" fillId="0" borderId="26" xfId="0" applyBorder="1"/>
    <xf numFmtId="0" fontId="0" fillId="0" borderId="24" xfId="0" applyBorder="1"/>
    <xf numFmtId="0" fontId="0" fillId="0" borderId="23" xfId="0" applyBorder="1"/>
    <xf numFmtId="0" fontId="0" fillId="0" borderId="27" xfId="0" applyBorder="1"/>
    <xf numFmtId="0" fontId="1" fillId="0" borderId="14" xfId="0" applyFont="1" applyBorder="1" applyAlignment="1">
      <alignment horizontal="center" vertical="center"/>
    </xf>
    <xf numFmtId="0" fontId="0" fillId="4" borderId="24" xfId="0" applyFill="1" applyBorder="1" applyAlignment="1">
      <alignment horizontal="center" vertical="center"/>
    </xf>
    <xf numFmtId="1" fontId="0" fillId="0" borderId="1" xfId="0" applyNumberFormat="1" applyBorder="1" applyAlignment="1">
      <alignment horizontal="center" vertical="center"/>
    </xf>
    <xf numFmtId="49" fontId="0" fillId="0" borderId="9" xfId="0" applyNumberFormat="1" applyBorder="1"/>
    <xf numFmtId="0" fontId="0" fillId="7" borderId="9" xfId="0" applyFill="1" applyBorder="1"/>
    <xf numFmtId="0" fontId="0" fillId="0" borderId="11" xfId="0" applyBorder="1"/>
    <xf numFmtId="0" fontId="0" fillId="0" borderId="10" xfId="0" applyBorder="1"/>
    <xf numFmtId="0" fontId="0" fillId="7" borderId="25" xfId="0" applyFill="1" applyBorder="1"/>
    <xf numFmtId="0" fontId="0" fillId="0" borderId="25" xfId="0" applyBorder="1" applyAlignment="1">
      <alignment horizontal="left" vertical="center"/>
    </xf>
    <xf numFmtId="0" fontId="0" fillId="0" borderId="28" xfId="0" applyBorder="1"/>
    <xf numFmtId="0" fontId="0" fillId="7" borderId="21" xfId="0" applyFill="1" applyBorder="1"/>
    <xf numFmtId="0" fontId="0" fillId="8" borderId="1" xfId="0" applyFill="1" applyBorder="1"/>
    <xf numFmtId="49" fontId="18" fillId="0" borderId="1" xfId="0" applyNumberFormat="1" applyFont="1" applyBorder="1"/>
    <xf numFmtId="0" fontId="0" fillId="7" borderId="24" xfId="0" applyFill="1" applyBorder="1"/>
    <xf numFmtId="0" fontId="7" fillId="7" borderId="23" xfId="0" applyFont="1" applyFill="1" applyBorder="1" applyAlignment="1">
      <alignment vertical="center"/>
    </xf>
    <xf numFmtId="0" fontId="0" fillId="7" borderId="23" xfId="0" applyFill="1" applyBorder="1"/>
    <xf numFmtId="0" fontId="0" fillId="7" borderId="10" xfId="0" applyFill="1" applyBorder="1"/>
    <xf numFmtId="0" fontId="0" fillId="4" borderId="9" xfId="0" applyFill="1" applyBorder="1" applyAlignment="1">
      <alignment horizontal="center"/>
    </xf>
    <xf numFmtId="0" fontId="0" fillId="4" borderId="11" xfId="0" applyFill="1" applyBorder="1" applyAlignment="1">
      <alignment horizontal="center"/>
    </xf>
    <xf numFmtId="0" fontId="0" fillId="4" borderId="23" xfId="0" applyFill="1" applyBorder="1" applyAlignment="1">
      <alignment horizontal="center" vertical="center"/>
    </xf>
    <xf numFmtId="0" fontId="0" fillId="5" borderId="13" xfId="0" applyFill="1" applyBorder="1" applyAlignment="1">
      <alignment horizontal="center" vertical="center"/>
    </xf>
    <xf numFmtId="0" fontId="19" fillId="0" borderId="0" xfId="0" applyFont="1" applyAlignment="1">
      <alignment horizontal="center" vertical="center"/>
    </xf>
    <xf numFmtId="0" fontId="1" fillId="0" borderId="1" xfId="0" applyFont="1" applyBorder="1"/>
    <xf numFmtId="0" fontId="0" fillId="0" borderId="32" xfId="0" applyBorder="1"/>
    <xf numFmtId="0" fontId="0" fillId="0" borderId="3" xfId="0" applyBorder="1"/>
    <xf numFmtId="0" fontId="0" fillId="0" borderId="4" xfId="0" applyBorder="1"/>
    <xf numFmtId="0" fontId="1" fillId="0" borderId="32" xfId="0" applyFont="1" applyBorder="1"/>
    <xf numFmtId="0" fontId="1" fillId="10" borderId="33" xfId="0" applyFont="1" applyFill="1" applyBorder="1"/>
    <xf numFmtId="0" fontId="0" fillId="10" borderId="33" xfId="0" applyFill="1" applyBorder="1"/>
    <xf numFmtId="0" fontId="0" fillId="10" borderId="33" xfId="0" applyFill="1" applyBorder="1" applyAlignment="1">
      <alignment horizontal="center" vertical="center"/>
    </xf>
    <xf numFmtId="0" fontId="0" fillId="0" borderId="17" xfId="0" applyBorder="1"/>
    <xf numFmtId="0" fontId="0" fillId="0" borderId="18" xfId="0" applyBorder="1"/>
    <xf numFmtId="0" fontId="0" fillId="0" borderId="35" xfId="0" applyBorder="1"/>
    <xf numFmtId="0" fontId="0" fillId="0" borderId="36" xfId="0" applyBorder="1"/>
    <xf numFmtId="0" fontId="0" fillId="0" borderId="12" xfId="0" applyBorder="1"/>
    <xf numFmtId="0" fontId="0" fillId="0" borderId="13" xfId="0" applyBorder="1"/>
    <xf numFmtId="0" fontId="0" fillId="10" borderId="32" xfId="0" applyFill="1" applyBorder="1" applyAlignment="1">
      <alignment horizontal="center" vertical="center"/>
    </xf>
    <xf numFmtId="0" fontId="0" fillId="0" borderId="14" xfId="0" applyBorder="1"/>
    <xf numFmtId="0" fontId="0" fillId="0" borderId="43" xfId="0" applyBorder="1"/>
    <xf numFmtId="0" fontId="0" fillId="0" borderId="7" xfId="0" applyBorder="1"/>
    <xf numFmtId="0" fontId="0" fillId="0" borderId="44" xfId="0" applyBorder="1"/>
    <xf numFmtId="0" fontId="0" fillId="0" borderId="19" xfId="0" applyBorder="1"/>
    <xf numFmtId="0" fontId="0" fillId="0" borderId="40" xfId="0" applyBorder="1"/>
    <xf numFmtId="0" fontId="0" fillId="0" borderId="41" xfId="0" applyBorder="1"/>
    <xf numFmtId="0" fontId="0" fillId="0" borderId="8" xfId="0" applyBorder="1"/>
    <xf numFmtId="0" fontId="0" fillId="0" borderId="34" xfId="0" applyBorder="1"/>
    <xf numFmtId="0" fontId="0" fillId="0" borderId="16" xfId="0" applyBorder="1"/>
    <xf numFmtId="0" fontId="0" fillId="0" borderId="14" xfId="0" applyBorder="1" applyAlignment="1">
      <alignment horizontal="center" vertical="center"/>
    </xf>
    <xf numFmtId="0" fontId="0" fillId="0" borderId="42" xfId="0" applyBorder="1"/>
    <xf numFmtId="0" fontId="0" fillId="0" borderId="20" xfId="0" applyBorder="1" applyAlignment="1">
      <alignment horizontal="center" vertical="center"/>
    </xf>
    <xf numFmtId="0" fontId="0" fillId="13" borderId="4" xfId="0" applyFill="1" applyBorder="1" applyAlignment="1">
      <alignment horizontal="center" vertical="center"/>
    </xf>
    <xf numFmtId="0" fontId="0" fillId="0" borderId="46" xfId="0" applyBorder="1"/>
    <xf numFmtId="0" fontId="0" fillId="0" borderId="22" xfId="0" applyBorder="1" applyAlignment="1">
      <alignment horizontal="center" vertical="center"/>
    </xf>
    <xf numFmtId="0" fontId="1" fillId="0" borderId="40" xfId="0" applyFont="1" applyBorder="1" applyAlignment="1">
      <alignment horizontal="center" vertical="center"/>
    </xf>
    <xf numFmtId="0" fontId="0" fillId="4" borderId="23" xfId="0" applyFill="1" applyBorder="1"/>
    <xf numFmtId="0" fontId="0" fillId="8" borderId="0" xfId="0" applyFill="1" applyAlignment="1">
      <alignment horizontal="center" vertical="center"/>
    </xf>
    <xf numFmtId="0" fontId="0" fillId="7" borderId="0" xfId="0" applyFill="1" applyAlignment="1">
      <alignment horizontal="left" vertical="top"/>
    </xf>
    <xf numFmtId="0" fontId="1" fillId="0" borderId="1" xfId="0" applyFont="1" applyBorder="1" applyAlignment="1">
      <alignment horizontal="center" vertical="center"/>
    </xf>
    <xf numFmtId="164" fontId="0" fillId="0" borderId="1" xfId="0" applyNumberFormat="1" applyBorder="1" applyAlignment="1">
      <alignment horizontal="center" vertical="center"/>
    </xf>
    <xf numFmtId="0" fontId="1" fillId="0" borderId="3" xfId="0" applyFont="1" applyBorder="1" applyAlignment="1">
      <alignment horizontal="center" vertical="center"/>
    </xf>
    <xf numFmtId="0" fontId="3" fillId="6" borderId="4" xfId="0" applyFont="1" applyFill="1" applyBorder="1" applyAlignment="1">
      <alignment horizontal="left" vertical="center"/>
    </xf>
    <xf numFmtId="0" fontId="3" fillId="4" borderId="4" xfId="0" applyFont="1" applyFill="1" applyBorder="1" applyAlignment="1">
      <alignment horizontal="left" vertical="center"/>
    </xf>
    <xf numFmtId="0" fontId="0" fillId="0" borderId="47" xfId="0" applyBorder="1"/>
    <xf numFmtId="0" fontId="0" fillId="0" borderId="48" xfId="0" applyBorder="1" applyAlignment="1">
      <alignment horizontal="center" vertical="center"/>
    </xf>
    <xf numFmtId="0" fontId="0" fillId="14" borderId="0" xfId="0" applyFill="1" applyAlignment="1">
      <alignment horizontal="center" vertical="center"/>
    </xf>
    <xf numFmtId="0" fontId="0" fillId="12" borderId="0" xfId="0" applyFill="1" applyAlignment="1">
      <alignment horizontal="center" vertical="center"/>
    </xf>
    <xf numFmtId="0" fontId="0" fillId="0" borderId="50" xfId="0" applyBorder="1" applyAlignment="1">
      <alignment horizontal="center" vertical="center"/>
    </xf>
    <xf numFmtId="0" fontId="1" fillId="15" borderId="31" xfId="0" applyFont="1" applyFill="1" applyBorder="1" applyAlignment="1">
      <alignment horizontal="center" vertical="center"/>
    </xf>
    <xf numFmtId="0" fontId="1" fillId="0" borderId="37" xfId="0" applyFont="1" applyBorder="1" applyAlignment="1">
      <alignment horizontal="center" vertical="center"/>
    </xf>
    <xf numFmtId="0" fontId="0" fillId="5" borderId="0" xfId="0" quotePrefix="1" applyFill="1" applyAlignment="1">
      <alignment horizontal="center" vertical="center"/>
    </xf>
    <xf numFmtId="0" fontId="0" fillId="0" borderId="1" xfId="0" applyBorder="1" applyAlignment="1">
      <alignment horizontal="left" vertical="top" wrapText="1"/>
    </xf>
    <xf numFmtId="0" fontId="1" fillId="4" borderId="14" xfId="0" applyFont="1" applyFill="1" applyBorder="1" applyAlignment="1">
      <alignment horizontal="center" vertical="center"/>
    </xf>
    <xf numFmtId="0" fontId="0" fillId="0" borderId="0" xfId="0" quotePrefix="1"/>
    <xf numFmtId="0" fontId="24" fillId="19" borderId="0" xfId="0" applyFont="1" applyFill="1"/>
    <xf numFmtId="0" fontId="1" fillId="16" borderId="37" xfId="0" applyFont="1" applyFill="1" applyBorder="1"/>
    <xf numFmtId="0" fontId="0" fillId="5" borderId="1" xfId="0" applyFill="1" applyBorder="1" applyAlignment="1">
      <alignment horizontal="left" vertical="top"/>
    </xf>
    <xf numFmtId="0" fontId="19" fillId="0" borderId="0" xfId="0" applyFont="1"/>
    <xf numFmtId="0" fontId="20" fillId="0" borderId="0" xfId="0" applyFont="1"/>
    <xf numFmtId="0" fontId="0" fillId="5" borderId="0" xfId="0" applyFill="1"/>
    <xf numFmtId="0" fontId="20" fillId="20" borderId="0" xfId="0" applyFont="1" applyFill="1"/>
    <xf numFmtId="0" fontId="20" fillId="20" borderId="0" xfId="0" applyFont="1" applyFill="1" applyAlignment="1">
      <alignment horizontal="center"/>
    </xf>
    <xf numFmtId="0" fontId="27" fillId="0" borderId="42" xfId="0" applyFont="1" applyBorder="1" applyAlignment="1">
      <alignment horizontal="left" vertical="center"/>
    </xf>
    <xf numFmtId="0" fontId="0" fillId="0" borderId="51" xfId="0" applyBorder="1"/>
    <xf numFmtId="0" fontId="0" fillId="0" borderId="18" xfId="0" applyBorder="1" applyAlignment="1">
      <alignment horizontal="left" vertical="top"/>
    </xf>
    <xf numFmtId="0" fontId="0" fillId="14" borderId="35" xfId="0" applyFill="1" applyBorder="1"/>
    <xf numFmtId="0" fontId="0" fillId="14" borderId="49" xfId="0" applyFill="1" applyBorder="1"/>
    <xf numFmtId="0" fontId="0" fillId="14" borderId="36" xfId="0" applyFill="1" applyBorder="1" applyAlignment="1">
      <alignment horizontal="left" vertical="top"/>
    </xf>
    <xf numFmtId="0" fontId="0" fillId="0" borderId="57" xfId="0" applyBorder="1" applyAlignment="1">
      <alignment horizontal="center" vertical="center"/>
    </xf>
    <xf numFmtId="0" fontId="0" fillId="0" borderId="58" xfId="0" applyBorder="1" applyAlignment="1">
      <alignment horizontal="center" vertical="center"/>
    </xf>
    <xf numFmtId="0" fontId="0" fillId="0" borderId="57" xfId="0" applyBorder="1"/>
    <xf numFmtId="0" fontId="0" fillId="0" borderId="13" xfId="0" applyBorder="1" applyAlignment="1">
      <alignment horizontal="center" vertical="center"/>
    </xf>
    <xf numFmtId="0" fontId="0" fillId="7" borderId="18" xfId="0" applyFill="1" applyBorder="1" applyAlignment="1">
      <alignment horizontal="center" vertical="center" wrapText="1"/>
    </xf>
    <xf numFmtId="0" fontId="0" fillId="7" borderId="13" xfId="0" applyFill="1" applyBorder="1" applyAlignment="1">
      <alignment horizontal="center" vertical="center" wrapText="1"/>
    </xf>
    <xf numFmtId="0" fontId="0" fillId="0" borderId="49" xfId="0" applyBorder="1" applyAlignment="1">
      <alignment vertical="center" wrapText="1"/>
    </xf>
    <xf numFmtId="0" fontId="0" fillId="0" borderId="63" xfId="0" applyBorder="1" applyAlignment="1">
      <alignment vertical="center" wrapText="1"/>
    </xf>
    <xf numFmtId="0" fontId="0" fillId="7" borderId="36" xfId="0" applyFill="1" applyBorder="1" applyAlignment="1">
      <alignment horizontal="center" vertical="center" wrapText="1"/>
    </xf>
    <xf numFmtId="0" fontId="0" fillId="0" borderId="57" xfId="0" applyBorder="1" applyAlignment="1">
      <alignment vertical="center" wrapText="1"/>
    </xf>
    <xf numFmtId="0" fontId="0" fillId="0" borderId="64" xfId="0" applyBorder="1" applyAlignment="1">
      <alignment vertical="center" wrapText="1"/>
    </xf>
    <xf numFmtId="0" fontId="0" fillId="0" borderId="60" xfId="0" applyBorder="1" applyAlignment="1">
      <alignment horizontal="center" vertical="center" wrapText="1"/>
    </xf>
    <xf numFmtId="0" fontId="0" fillId="0" borderId="61" xfId="0" applyBorder="1" applyAlignment="1">
      <alignment horizontal="center" vertical="center" wrapText="1"/>
    </xf>
    <xf numFmtId="0" fontId="0" fillId="7" borderId="65" xfId="0" applyFill="1" applyBorder="1" applyAlignment="1">
      <alignment horizontal="center" vertical="center" wrapText="1"/>
    </xf>
    <xf numFmtId="0" fontId="0" fillId="0" borderId="35" xfId="0" applyBorder="1" applyAlignment="1">
      <alignment horizontal="center" vertical="center" wrapText="1"/>
    </xf>
    <xf numFmtId="0" fontId="0" fillId="0" borderId="49" xfId="0" applyBorder="1" applyAlignment="1">
      <alignment horizontal="center" vertical="center" wrapText="1"/>
    </xf>
    <xf numFmtId="0" fontId="0" fillId="0" borderId="12" xfId="0" applyBorder="1" applyAlignment="1">
      <alignment horizontal="center" vertical="center" wrapText="1"/>
    </xf>
    <xf numFmtId="0" fontId="0" fillId="0" borderId="57" xfId="0" applyBorder="1" applyAlignment="1">
      <alignment horizontal="center" vertical="center" wrapText="1"/>
    </xf>
    <xf numFmtId="0" fontId="1" fillId="17" borderId="2" xfId="0" applyFont="1" applyFill="1" applyBorder="1"/>
    <xf numFmtId="0" fontId="0" fillId="0" borderId="29" xfId="0" applyBorder="1"/>
    <xf numFmtId="0" fontId="0" fillId="0" borderId="29" xfId="0" applyBorder="1" applyAlignment="1">
      <alignment horizontal="left" vertical="top"/>
    </xf>
    <xf numFmtId="0" fontId="0" fillId="0" borderId="30" xfId="0" applyBorder="1"/>
    <xf numFmtId="0" fontId="1" fillId="0" borderId="4" xfId="0" applyFont="1" applyBorder="1"/>
    <xf numFmtId="0" fontId="0" fillId="0" borderId="3" xfId="0" applyBorder="1" applyAlignment="1">
      <alignment horizontal="left" vertical="top"/>
    </xf>
    <xf numFmtId="0" fontId="20" fillId="14" borderId="5" xfId="0" applyFont="1" applyFill="1" applyBorder="1"/>
    <xf numFmtId="0" fontId="0" fillId="7" borderId="6" xfId="0" applyFill="1" applyBorder="1" applyAlignment="1">
      <alignment horizontal="center" vertical="center"/>
    </xf>
    <xf numFmtId="0" fontId="0" fillId="0" borderId="6" xfId="0" applyBorder="1" applyAlignment="1">
      <alignment horizontal="left" vertical="top"/>
    </xf>
    <xf numFmtId="0" fontId="0" fillId="7" borderId="12" xfId="0" applyFill="1" applyBorder="1" applyAlignment="1">
      <alignment horizontal="center" vertical="center"/>
    </xf>
    <xf numFmtId="0" fontId="0" fillId="0" borderId="13" xfId="0" applyBorder="1" applyAlignment="1">
      <alignment horizontal="left" vertical="top"/>
    </xf>
    <xf numFmtId="0" fontId="0" fillId="0" borderId="7" xfId="0" applyBorder="1" applyAlignment="1">
      <alignment horizontal="center" vertical="center"/>
    </xf>
    <xf numFmtId="0" fontId="1" fillId="12" borderId="7" xfId="0" applyFont="1" applyFill="1" applyBorder="1" applyAlignment="1">
      <alignment horizontal="center" vertical="center"/>
    </xf>
    <xf numFmtId="0" fontId="0" fillId="0" borderId="4" xfId="0" applyBorder="1" applyAlignment="1">
      <alignment horizontal="center" vertical="center"/>
    </xf>
    <xf numFmtId="0" fontId="1" fillId="7" borderId="7" xfId="0" applyFont="1" applyFill="1" applyBorder="1" applyAlignment="1">
      <alignment horizontal="center" vertical="center"/>
    </xf>
    <xf numFmtId="0" fontId="1" fillId="12" borderId="4" xfId="0" applyFont="1" applyFill="1" applyBorder="1" applyAlignment="1">
      <alignment horizontal="center" vertical="center"/>
    </xf>
    <xf numFmtId="0" fontId="1" fillId="7" borderId="44" xfId="0" applyFont="1" applyFill="1" applyBorder="1" applyAlignment="1">
      <alignment horizontal="center" vertical="center"/>
    </xf>
    <xf numFmtId="0" fontId="0" fillId="0" borderId="68" xfId="0" applyBorder="1" applyAlignment="1">
      <alignment horizontal="center" vertical="center"/>
    </xf>
    <xf numFmtId="0" fontId="1" fillId="12" borderId="68" xfId="0" applyFont="1" applyFill="1" applyBorder="1" applyAlignment="1">
      <alignment horizontal="center" vertical="center"/>
    </xf>
    <xf numFmtId="0" fontId="1" fillId="7" borderId="5" xfId="0" applyFont="1" applyFill="1" applyBorder="1" applyAlignment="1">
      <alignment horizontal="center" vertical="center"/>
    </xf>
    <xf numFmtId="0" fontId="1" fillId="3" borderId="5" xfId="0" applyFont="1" applyFill="1" applyBorder="1" applyAlignment="1">
      <alignment horizontal="center" vertical="center"/>
    </xf>
    <xf numFmtId="0" fontId="1" fillId="7" borderId="6" xfId="0" applyFont="1" applyFill="1" applyBorder="1" applyAlignment="1">
      <alignment horizontal="center" vertical="center"/>
    </xf>
    <xf numFmtId="0" fontId="1" fillId="3" borderId="6" xfId="0" applyFont="1" applyFill="1" applyBorder="1" applyAlignment="1">
      <alignment horizontal="center" vertical="center"/>
    </xf>
    <xf numFmtId="0" fontId="27" fillId="0" borderId="0" xfId="0" applyFont="1" applyAlignment="1">
      <alignment horizontal="center"/>
    </xf>
    <xf numFmtId="0" fontId="0" fillId="19" borderId="40" xfId="0" applyFill="1" applyBorder="1"/>
    <xf numFmtId="0" fontId="0" fillId="0" borderId="40" xfId="0" applyBorder="1" applyAlignment="1">
      <alignment horizontal="center" vertical="top"/>
    </xf>
    <xf numFmtId="0" fontId="0" fillId="19" borderId="41" xfId="0" applyFill="1" applyBorder="1"/>
    <xf numFmtId="0" fontId="20" fillId="14" borderId="41" xfId="0" applyFont="1" applyFill="1" applyBorder="1"/>
    <xf numFmtId="0" fontId="20" fillId="14" borderId="25" xfId="0" applyFont="1" applyFill="1" applyBorder="1" applyAlignment="1">
      <alignment horizontal="center" vertical="top"/>
    </xf>
    <xf numFmtId="0" fontId="0" fillId="19" borderId="22" xfId="0" applyFill="1" applyBorder="1"/>
    <xf numFmtId="0" fontId="0" fillId="0" borderId="22" xfId="0" applyBorder="1"/>
    <xf numFmtId="0" fontId="0" fillId="0" borderId="26" xfId="0" applyBorder="1" applyAlignment="1">
      <alignment horizontal="center" vertical="top"/>
    </xf>
    <xf numFmtId="0" fontId="0" fillId="19" borderId="7" xfId="0" applyFill="1" applyBorder="1" applyAlignment="1">
      <alignment horizontal="center" vertical="center"/>
    </xf>
    <xf numFmtId="0" fontId="0" fillId="0" borderId="55" xfId="0" applyBorder="1" applyAlignment="1">
      <alignment horizontal="center" vertical="center"/>
    </xf>
    <xf numFmtId="0" fontId="0" fillId="19" borderId="5" xfId="0" applyFill="1" applyBorder="1" applyAlignment="1">
      <alignment horizontal="center" vertical="center"/>
    </xf>
    <xf numFmtId="0" fontId="0" fillId="0" borderId="69" xfId="0" applyBorder="1" applyAlignment="1">
      <alignment horizontal="center" vertical="center"/>
    </xf>
    <xf numFmtId="0" fontId="0" fillId="19" borderId="0" xfId="0" applyFill="1" applyAlignment="1">
      <alignment horizontal="center" vertical="center"/>
    </xf>
    <xf numFmtId="0" fontId="0" fillId="19" borderId="6" xfId="0" applyFill="1" applyBorder="1" applyAlignment="1">
      <alignment horizontal="center" vertical="center"/>
    </xf>
    <xf numFmtId="0" fontId="0" fillId="0" borderId="70" xfId="0" applyBorder="1" applyAlignment="1">
      <alignment horizontal="center" vertical="center"/>
    </xf>
    <xf numFmtId="0" fontId="0" fillId="0" borderId="71" xfId="0" applyBorder="1"/>
    <xf numFmtId="0" fontId="0" fillId="0" borderId="72" xfId="0" applyBorder="1"/>
    <xf numFmtId="0" fontId="1" fillId="0" borderId="5" xfId="0" applyFont="1" applyBorder="1" applyAlignment="1">
      <alignment horizontal="center" vertical="center"/>
    </xf>
    <xf numFmtId="0" fontId="19" fillId="14" borderId="63" xfId="0" applyFont="1" applyFill="1" applyBorder="1" applyAlignment="1">
      <alignment horizontal="left" vertical="center"/>
    </xf>
    <xf numFmtId="0" fontId="19" fillId="14" borderId="63" xfId="0" applyFont="1" applyFill="1" applyBorder="1" applyAlignment="1">
      <alignment horizontal="left" vertical="center" wrapText="1"/>
    </xf>
    <xf numFmtId="0" fontId="19" fillId="14" borderId="74" xfId="0" applyFont="1" applyFill="1" applyBorder="1" applyAlignment="1">
      <alignment horizontal="left" vertical="center" wrapText="1"/>
    </xf>
    <xf numFmtId="0" fontId="19" fillId="14" borderId="75" xfId="0" applyFont="1" applyFill="1" applyBorder="1" applyAlignment="1">
      <alignment horizontal="left" vertical="center"/>
    </xf>
    <xf numFmtId="0" fontId="19" fillId="14" borderId="74" xfId="0" applyFont="1" applyFill="1" applyBorder="1" applyAlignment="1">
      <alignment horizontal="left" vertical="center"/>
    </xf>
    <xf numFmtId="0" fontId="0" fillId="0" borderId="69" xfId="0" applyBorder="1"/>
    <xf numFmtId="0" fontId="1" fillId="12" borderId="15" xfId="0" applyFont="1" applyFill="1" applyBorder="1"/>
    <xf numFmtId="0" fontId="1" fillId="12" borderId="76" xfId="0" applyFont="1" applyFill="1" applyBorder="1"/>
    <xf numFmtId="0" fontId="1" fillId="12" borderId="77" xfId="0" applyFont="1" applyFill="1" applyBorder="1"/>
    <xf numFmtId="0" fontId="0" fillId="0" borderId="49" xfId="0" applyBorder="1"/>
    <xf numFmtId="0" fontId="0" fillId="0" borderId="70" xfId="0" applyBorder="1"/>
    <xf numFmtId="0" fontId="0" fillId="0" borderId="73" xfId="0" applyBorder="1"/>
    <xf numFmtId="0" fontId="0" fillId="0" borderId="40" xfId="0" applyBorder="1" applyAlignment="1">
      <alignment vertical="center" wrapText="1"/>
    </xf>
    <xf numFmtId="0" fontId="0" fillId="19" borderId="4" xfId="0" applyFill="1" applyBorder="1" applyAlignment="1">
      <alignment horizontal="center" vertical="center" wrapText="1"/>
    </xf>
    <xf numFmtId="0" fontId="0" fillId="0" borderId="51" xfId="0" applyBorder="1" applyAlignment="1">
      <alignment horizontal="center" vertical="center" wrapText="1"/>
    </xf>
    <xf numFmtId="0" fontId="0" fillId="0" borderId="7" xfId="0" applyBorder="1" applyAlignment="1">
      <alignment vertical="center" wrapText="1"/>
    </xf>
    <xf numFmtId="0" fontId="0" fillId="19" borderId="6" xfId="0" applyFill="1" applyBorder="1" applyAlignment="1">
      <alignment horizontal="center" vertical="center" wrapText="1"/>
    </xf>
    <xf numFmtId="0" fontId="0" fillId="12" borderId="57" xfId="0" applyFill="1" applyBorder="1" applyAlignment="1">
      <alignment horizontal="center" vertical="center" wrapText="1"/>
    </xf>
    <xf numFmtId="0" fontId="0" fillId="0" borderId="7" xfId="0" applyBorder="1" applyAlignment="1">
      <alignment horizontal="center" vertical="center" wrapText="1"/>
    </xf>
    <xf numFmtId="0" fontId="0" fillId="19" borderId="7" xfId="0" applyFill="1" applyBorder="1" applyAlignment="1">
      <alignment horizontal="center" vertical="center" wrapText="1"/>
    </xf>
    <xf numFmtId="0" fontId="0" fillId="0" borderId="65" xfId="0" applyBorder="1" applyAlignment="1">
      <alignment horizontal="center" vertical="center" wrapText="1"/>
    </xf>
    <xf numFmtId="0" fontId="0" fillId="0" borderId="5" xfId="0" applyBorder="1" applyAlignment="1">
      <alignment horizontal="center" vertical="center" wrapText="1"/>
    </xf>
    <xf numFmtId="0" fontId="0" fillId="0" borderId="0" xfId="0" applyAlignment="1">
      <alignment horizontal="center" vertical="center" wrapText="1"/>
    </xf>
    <xf numFmtId="0" fontId="0" fillId="19" borderId="0" xfId="0" applyFill="1" applyAlignment="1">
      <alignment horizontal="center" vertical="center" wrapText="1"/>
    </xf>
    <xf numFmtId="0" fontId="0" fillId="0" borderId="36" xfId="0" applyBorder="1" applyAlignment="1">
      <alignment horizontal="center" vertical="center" wrapText="1"/>
    </xf>
    <xf numFmtId="0" fontId="0" fillId="19" borderId="5" xfId="0" applyFill="1" applyBorder="1" applyAlignment="1">
      <alignment horizontal="center" vertical="center" wrapText="1"/>
    </xf>
    <xf numFmtId="0" fontId="0" fillId="0" borderId="6" xfId="0" applyBorder="1" applyAlignment="1">
      <alignment horizontal="center" vertical="center" wrapText="1"/>
    </xf>
    <xf numFmtId="0" fontId="0" fillId="0" borderId="13" xfId="0" applyBorder="1" applyAlignment="1">
      <alignment horizontal="center" vertical="center" wrapText="1"/>
    </xf>
    <xf numFmtId="0" fontId="19" fillId="14" borderId="35" xfId="0" applyFont="1" applyFill="1" applyBorder="1" applyAlignment="1">
      <alignment horizontal="left" vertical="center"/>
    </xf>
    <xf numFmtId="0" fontId="19" fillId="14" borderId="49" xfId="0" applyFont="1" applyFill="1" applyBorder="1" applyAlignment="1">
      <alignment horizontal="left" vertical="center"/>
    </xf>
    <xf numFmtId="0" fontId="19" fillId="14" borderId="49" xfId="0" applyFont="1" applyFill="1" applyBorder="1" applyAlignment="1">
      <alignment horizontal="left" vertical="center" wrapText="1"/>
    </xf>
    <xf numFmtId="0" fontId="19" fillId="14" borderId="69" xfId="0" applyFont="1" applyFill="1" applyBorder="1" applyAlignment="1">
      <alignment horizontal="left" vertical="center"/>
    </xf>
    <xf numFmtId="0" fontId="19" fillId="14" borderId="79" xfId="0" applyFont="1" applyFill="1" applyBorder="1" applyAlignment="1">
      <alignment horizontal="left" vertical="center"/>
    </xf>
    <xf numFmtId="0" fontId="0" fillId="0" borderId="80" xfId="0" applyBorder="1"/>
    <xf numFmtId="0" fontId="0" fillId="0" borderId="71" xfId="0" applyBorder="1" applyAlignment="1">
      <alignment horizontal="center" vertical="center" wrapText="1"/>
    </xf>
    <xf numFmtId="0" fontId="0" fillId="0" borderId="22" xfId="0" applyBorder="1" applyAlignment="1">
      <alignment vertical="center" wrapText="1"/>
    </xf>
    <xf numFmtId="0" fontId="0" fillId="12" borderId="70" xfId="0" applyFill="1" applyBorder="1" applyAlignment="1">
      <alignment horizontal="center" vertical="center" wrapText="1"/>
    </xf>
    <xf numFmtId="0" fontId="0" fillId="0" borderId="55" xfId="0" applyBorder="1" applyAlignment="1">
      <alignment horizontal="center" vertical="center" wrapText="1"/>
    </xf>
    <xf numFmtId="0" fontId="0" fillId="0" borderId="83" xfId="0" applyBorder="1" applyAlignment="1">
      <alignment horizontal="center" vertical="center" wrapText="1"/>
    </xf>
    <xf numFmtId="0" fontId="0" fillId="0" borderId="69" xfId="0" applyBorder="1" applyAlignment="1">
      <alignment horizontal="center" vertical="center" wrapText="1"/>
    </xf>
    <xf numFmtId="0" fontId="0" fillId="0" borderId="79" xfId="0" applyBorder="1" applyAlignment="1">
      <alignment horizontal="center" vertical="center" wrapText="1"/>
    </xf>
    <xf numFmtId="0" fontId="0" fillId="0" borderId="70" xfId="0" applyBorder="1" applyAlignment="1">
      <alignment horizontal="center" vertical="center" wrapText="1"/>
    </xf>
    <xf numFmtId="0" fontId="0" fillId="0" borderId="80" xfId="0" applyBorder="1" applyAlignment="1">
      <alignment horizontal="center" vertical="center" wrapText="1"/>
    </xf>
    <xf numFmtId="0" fontId="2" fillId="0" borderId="42" xfId="0" applyFont="1" applyBorder="1" applyAlignment="1">
      <alignment horizontal="center"/>
    </xf>
    <xf numFmtId="0" fontId="31" fillId="11" borderId="0" xfId="0" applyFont="1" applyFill="1"/>
    <xf numFmtId="0" fontId="25" fillId="11" borderId="0" xfId="0" applyFont="1" applyFill="1"/>
    <xf numFmtId="0" fontId="31" fillId="0" borderId="0" xfId="0" applyFont="1" applyAlignment="1">
      <alignment horizontal="left" vertical="top"/>
    </xf>
    <xf numFmtId="0" fontId="32" fillId="0" borderId="0" xfId="0" applyFont="1" applyAlignment="1">
      <alignment horizontal="left" vertical="top"/>
    </xf>
    <xf numFmtId="0" fontId="26" fillId="0" borderId="0" xfId="0" applyFont="1"/>
    <xf numFmtId="0" fontId="19" fillId="0" borderId="0" xfId="0" applyFont="1" applyAlignment="1">
      <alignment horizontal="left" vertical="center"/>
    </xf>
    <xf numFmtId="0" fontId="25" fillId="0" borderId="0" xfId="0" applyFont="1"/>
    <xf numFmtId="0" fontId="33" fillId="0" borderId="0" xfId="0" applyFont="1" applyAlignment="1">
      <alignment horizontal="left" vertical="top"/>
    </xf>
    <xf numFmtId="0" fontId="0" fillId="0" borderId="64" xfId="0" applyBorder="1" applyAlignment="1">
      <alignment wrapText="1"/>
    </xf>
    <xf numFmtId="0" fontId="0" fillId="0" borderId="78" xfId="0" applyBorder="1" applyAlignment="1">
      <alignment wrapText="1"/>
    </xf>
    <xf numFmtId="0" fontId="0" fillId="0" borderId="37" xfId="0" applyBorder="1" applyAlignment="1">
      <alignment horizontal="center" vertical="center"/>
    </xf>
    <xf numFmtId="0" fontId="3" fillId="2" borderId="51" xfId="0" applyFont="1" applyFill="1" applyBorder="1" applyAlignment="1">
      <alignment horizontal="left" vertical="center"/>
    </xf>
    <xf numFmtId="0" fontId="0" fillId="0" borderId="2" xfId="0" applyBorder="1"/>
    <xf numFmtId="0" fontId="19" fillId="21" borderId="37" xfId="0" applyFont="1" applyFill="1" applyBorder="1" applyAlignment="1">
      <alignment horizontal="left" vertical="top"/>
    </xf>
    <xf numFmtId="0" fontId="31" fillId="21" borderId="59" xfId="0" applyFont="1" applyFill="1" applyBorder="1" applyAlignment="1">
      <alignment horizontal="left" vertical="top"/>
    </xf>
    <xf numFmtId="0" fontId="31" fillId="21" borderId="38" xfId="0" applyFont="1" applyFill="1" applyBorder="1" applyAlignment="1">
      <alignment horizontal="left" vertical="top"/>
    </xf>
    <xf numFmtId="0" fontId="19" fillId="0" borderId="15" xfId="0" applyFont="1" applyBorder="1"/>
    <xf numFmtId="0" fontId="19" fillId="0" borderId="77" xfId="0" applyFont="1" applyBorder="1"/>
    <xf numFmtId="0" fontId="34" fillId="0" borderId="21" xfId="0" applyFont="1" applyBorder="1"/>
    <xf numFmtId="0" fontId="1" fillId="0" borderId="21" xfId="0" applyFont="1" applyBorder="1"/>
    <xf numFmtId="0" fontId="1" fillId="0" borderId="33" xfId="0" applyFont="1" applyBorder="1"/>
    <xf numFmtId="0" fontId="1" fillId="0" borderId="15" xfId="0" applyFont="1" applyBorder="1"/>
    <xf numFmtId="0" fontId="1" fillId="0" borderId="76" xfId="0" applyFont="1" applyBorder="1"/>
    <xf numFmtId="0" fontId="1" fillId="0" borderId="77" xfId="0" applyFont="1" applyBorder="1"/>
    <xf numFmtId="0" fontId="19" fillId="0" borderId="37" xfId="0" applyFont="1" applyBorder="1"/>
    <xf numFmtId="0" fontId="19" fillId="0" borderId="59" xfId="0" applyFont="1" applyBorder="1"/>
    <xf numFmtId="0" fontId="19" fillId="0" borderId="38" xfId="0" applyFont="1" applyBorder="1"/>
    <xf numFmtId="0" fontId="0" fillId="0" borderId="47" xfId="0" applyBorder="1" applyAlignment="1">
      <alignment horizontal="center" vertical="center"/>
    </xf>
    <xf numFmtId="0" fontId="3" fillId="2" borderId="49" xfId="0" applyFont="1" applyFill="1" applyBorder="1" applyAlignment="1">
      <alignment horizontal="left" vertical="center"/>
    </xf>
    <xf numFmtId="0" fontId="0" fillId="3" borderId="3" xfId="0" applyFill="1" applyBorder="1"/>
    <xf numFmtId="1" fontId="0" fillId="0" borderId="0" xfId="0" applyNumberFormat="1" applyAlignment="1">
      <alignment horizontal="center"/>
    </xf>
    <xf numFmtId="0" fontId="35" fillId="22" borderId="17" xfId="0" applyFont="1" applyFill="1" applyBorder="1" applyAlignment="1">
      <alignment vertical="top" wrapText="1"/>
    </xf>
    <xf numFmtId="0" fontId="3" fillId="0" borderId="51" xfId="0" applyFont="1" applyBorder="1" applyAlignment="1">
      <alignment vertical="top" wrapText="1"/>
    </xf>
    <xf numFmtId="0" fontId="3" fillId="0" borderId="18" xfId="0" applyFont="1" applyBorder="1" applyAlignment="1">
      <alignment vertical="top" wrapText="1"/>
    </xf>
    <xf numFmtId="0" fontId="0" fillId="0" borderId="60" xfId="0" applyBorder="1" applyAlignment="1">
      <alignment horizontal="left" vertical="top" wrapText="1"/>
    </xf>
    <xf numFmtId="0" fontId="0" fillId="0" borderId="65" xfId="0" applyBorder="1" applyAlignment="1">
      <alignment horizontal="left" vertical="top" wrapText="1"/>
    </xf>
    <xf numFmtId="0" fontId="1" fillId="0" borderId="57" xfId="0" applyFont="1" applyBorder="1" applyAlignment="1">
      <alignment horizontal="center" vertical="center"/>
    </xf>
    <xf numFmtId="0" fontId="1" fillId="5" borderId="57" xfId="0" applyFont="1" applyFill="1" applyBorder="1" applyAlignment="1">
      <alignment vertical="center"/>
    </xf>
    <xf numFmtId="0" fontId="1" fillId="2" borderId="57" xfId="0" applyFont="1" applyFill="1" applyBorder="1" applyAlignment="1">
      <alignment vertical="center"/>
    </xf>
    <xf numFmtId="0" fontId="1" fillId="6" borderId="57" xfId="0" applyFont="1" applyFill="1" applyBorder="1" applyAlignment="1">
      <alignment horizontal="center" vertical="center"/>
    </xf>
    <xf numFmtId="0" fontId="1" fillId="4" borderId="57" xfId="0" applyFont="1" applyFill="1" applyBorder="1" applyAlignment="1">
      <alignment vertical="center"/>
    </xf>
    <xf numFmtId="0" fontId="0" fillId="3" borderId="13" xfId="0" applyFill="1" applyBorder="1"/>
    <xf numFmtId="0" fontId="7" fillId="14" borderId="40" xfId="0" applyFont="1" applyFill="1" applyBorder="1"/>
    <xf numFmtId="0" fontId="7" fillId="6" borderId="84" xfId="0" applyFont="1" applyFill="1" applyBorder="1"/>
    <xf numFmtId="0" fontId="7" fillId="0" borderId="4" xfId="0" applyFont="1" applyBorder="1"/>
    <xf numFmtId="0" fontId="33" fillId="3" borderId="2" xfId="0" applyFont="1" applyFill="1" applyBorder="1" applyAlignment="1">
      <alignment horizontal="center" vertical="center"/>
    </xf>
    <xf numFmtId="1" fontId="0" fillId="3" borderId="17" xfId="0" applyNumberFormat="1" applyFill="1" applyBorder="1" applyAlignment="1">
      <alignment horizontal="center" vertical="center"/>
    </xf>
    <xf numFmtId="0" fontId="0" fillId="3" borderId="18" xfId="0" applyFill="1" applyBorder="1" applyAlignment="1">
      <alignment horizontal="center" vertical="center"/>
    </xf>
    <xf numFmtId="0" fontId="0" fillId="3" borderId="4" xfId="0" applyFill="1" applyBorder="1" applyAlignment="1">
      <alignment horizontal="center" vertical="center"/>
    </xf>
    <xf numFmtId="0" fontId="0" fillId="3" borderId="4" xfId="0" applyFill="1" applyBorder="1" applyAlignment="1">
      <alignment horizontal="left" vertical="top" wrapText="1"/>
    </xf>
    <xf numFmtId="0" fontId="0" fillId="0" borderId="17" xfId="0" applyBorder="1" applyAlignment="1">
      <alignment horizontal="center" vertical="center"/>
    </xf>
    <xf numFmtId="0" fontId="0" fillId="0" borderId="51" xfId="0" applyBorder="1" applyAlignment="1">
      <alignment horizontal="left" vertical="top"/>
    </xf>
    <xf numFmtId="0" fontId="0" fillId="0" borderId="18" xfId="0" applyBorder="1" applyAlignment="1">
      <alignment horizontal="left" vertical="top" wrapText="1"/>
    </xf>
    <xf numFmtId="0" fontId="0" fillId="0" borderId="51" xfId="0" applyBorder="1" applyAlignment="1">
      <alignment horizontal="left" vertical="top" wrapText="1"/>
    </xf>
    <xf numFmtId="0" fontId="0" fillId="4" borderId="3" xfId="0" applyFill="1" applyBorder="1"/>
    <xf numFmtId="0" fontId="3" fillId="22" borderId="35" xfId="0" applyFont="1" applyFill="1" applyBorder="1" applyAlignment="1">
      <alignment vertical="top" wrapText="1"/>
    </xf>
    <xf numFmtId="0" fontId="3" fillId="0" borderId="49" xfId="0" applyFont="1" applyBorder="1" applyAlignment="1">
      <alignment vertical="top" wrapText="1"/>
    </xf>
    <xf numFmtId="0" fontId="3" fillId="0" borderId="36" xfId="0" applyFont="1" applyBorder="1" applyAlignment="1">
      <alignment vertical="top" wrapText="1"/>
    </xf>
    <xf numFmtId="0" fontId="0" fillId="0" borderId="35" xfId="0" applyBorder="1" applyAlignment="1">
      <alignment horizontal="left" vertical="top" wrapText="1"/>
    </xf>
    <xf numFmtId="0" fontId="0" fillId="0" borderId="36" xfId="0" applyBorder="1" applyAlignment="1">
      <alignment horizontal="left" vertical="top" wrapText="1"/>
    </xf>
    <xf numFmtId="0" fontId="0" fillId="3" borderId="60" xfId="0" applyFill="1" applyBorder="1" applyAlignment="1">
      <alignment horizontal="center" vertical="center"/>
    </xf>
    <xf numFmtId="0" fontId="0" fillId="0" borderId="56" xfId="0" applyBorder="1" applyAlignment="1">
      <alignment horizontal="center" vertical="center"/>
    </xf>
    <xf numFmtId="0" fontId="0" fillId="0" borderId="61" xfId="0" applyBorder="1" applyAlignment="1">
      <alignment horizontal="center" vertical="center"/>
    </xf>
    <xf numFmtId="0" fontId="0" fillId="3" borderId="29" xfId="0" applyFill="1" applyBorder="1"/>
    <xf numFmtId="0" fontId="1" fillId="2" borderId="51" xfId="0" applyFont="1" applyFill="1" applyBorder="1" applyAlignment="1">
      <alignment vertical="center"/>
    </xf>
    <xf numFmtId="0" fontId="1" fillId="6" borderId="61" xfId="0" applyFont="1" applyFill="1" applyBorder="1" applyAlignment="1">
      <alignment horizontal="center" vertical="center"/>
    </xf>
    <xf numFmtId="0" fontId="1" fillId="4" borderId="61" xfId="0" applyFont="1" applyFill="1" applyBorder="1" applyAlignment="1">
      <alignment vertical="center"/>
    </xf>
    <xf numFmtId="0" fontId="0" fillId="3" borderId="65" xfId="0" applyFill="1" applyBorder="1"/>
    <xf numFmtId="0" fontId="7" fillId="14" borderId="41" xfId="0" applyFont="1" applyFill="1" applyBorder="1"/>
    <xf numFmtId="0" fontId="7" fillId="6" borderId="85" xfId="0" applyFont="1" applyFill="1" applyBorder="1"/>
    <xf numFmtId="0" fontId="7" fillId="0" borderId="5" xfId="0" applyFont="1" applyBorder="1" applyAlignment="1">
      <alignment horizontal="left" vertical="center" indent="2"/>
    </xf>
    <xf numFmtId="0" fontId="0" fillId="4" borderId="25" xfId="0" applyFill="1" applyBorder="1" applyAlignment="1">
      <alignment horizontal="center" vertical="center" wrapText="1"/>
    </xf>
    <xf numFmtId="1" fontId="0" fillId="4" borderId="35" xfId="0" applyNumberFormat="1" applyFill="1" applyBorder="1" applyAlignment="1">
      <alignment horizontal="center" vertical="center"/>
    </xf>
    <xf numFmtId="0" fontId="0" fillId="4" borderId="36" xfId="0" applyFill="1" applyBorder="1" applyAlignment="1">
      <alignment horizontal="center" vertical="center"/>
    </xf>
    <xf numFmtId="0" fontId="0" fillId="4" borderId="5" xfId="0" applyFill="1" applyBorder="1" applyAlignment="1">
      <alignment horizontal="center" vertical="center"/>
    </xf>
    <xf numFmtId="0" fontId="0" fillId="4" borderId="5" xfId="0" applyFill="1" applyBorder="1" applyAlignment="1">
      <alignment horizontal="left" vertical="top" wrapText="1"/>
    </xf>
    <xf numFmtId="0" fontId="0" fillId="3" borderId="4" xfId="0" applyFill="1" applyBorder="1"/>
    <xf numFmtId="0" fontId="0" fillId="5" borderId="86" xfId="0" applyFill="1" applyBorder="1"/>
    <xf numFmtId="0" fontId="0" fillId="2" borderId="51" xfId="0" applyFill="1" applyBorder="1"/>
    <xf numFmtId="0" fontId="0" fillId="6" borderId="51" xfId="0" applyFill="1" applyBorder="1"/>
    <xf numFmtId="0" fontId="0" fillId="4" borderId="51" xfId="0" applyFill="1" applyBorder="1"/>
    <xf numFmtId="0" fontId="0" fillId="3" borderId="18" xfId="0" applyFill="1" applyBorder="1"/>
    <xf numFmtId="0" fontId="0" fillId="0" borderId="35" xfId="0" applyBorder="1" applyAlignment="1">
      <alignment horizontal="center" vertical="center"/>
    </xf>
    <xf numFmtId="0" fontId="0" fillId="0" borderId="49" xfId="0" applyBorder="1" applyAlignment="1">
      <alignment horizontal="left" vertical="top"/>
    </xf>
    <xf numFmtId="0" fontId="0" fillId="0" borderId="49" xfId="0" applyBorder="1" applyAlignment="1">
      <alignment horizontal="left" vertical="top" wrapText="1"/>
    </xf>
    <xf numFmtId="0" fontId="0" fillId="4" borderId="35" xfId="0" applyFill="1" applyBorder="1" applyAlignment="1">
      <alignment horizontal="center" vertical="center"/>
    </xf>
    <xf numFmtId="0" fontId="0" fillId="0" borderId="46" xfId="0" applyBorder="1" applyAlignment="1">
      <alignment horizontal="center" vertical="center"/>
    </xf>
    <xf numFmtId="0" fontId="0" fillId="0" borderId="49" xfId="0" applyBorder="1" applyAlignment="1">
      <alignment horizontal="center" vertical="center"/>
    </xf>
    <xf numFmtId="0" fontId="1" fillId="4" borderId="35" xfId="0" applyFont="1" applyFill="1" applyBorder="1" applyAlignment="1">
      <alignment vertical="center"/>
    </xf>
    <xf numFmtId="0" fontId="1" fillId="2" borderId="49" xfId="0" applyFont="1" applyFill="1" applyBorder="1" applyAlignment="1">
      <alignment vertical="center"/>
    </xf>
    <xf numFmtId="0" fontId="1" fillId="6" borderId="49" xfId="0" applyFont="1" applyFill="1" applyBorder="1" applyAlignment="1">
      <alignment horizontal="center" vertical="center"/>
    </xf>
    <xf numFmtId="0" fontId="1" fillId="4" borderId="49" xfId="0" applyFont="1" applyFill="1" applyBorder="1" applyAlignment="1">
      <alignment vertical="center"/>
    </xf>
    <xf numFmtId="0" fontId="0" fillId="3" borderId="36" xfId="0" applyFill="1" applyBorder="1"/>
    <xf numFmtId="0" fontId="7" fillId="6" borderId="87" xfId="0" applyFont="1" applyFill="1" applyBorder="1"/>
    <xf numFmtId="0" fontId="7" fillId="0" borderId="5" xfId="0" applyFont="1" applyBorder="1"/>
    <xf numFmtId="0" fontId="7" fillId="6" borderId="3" xfId="0" applyFont="1" applyFill="1" applyBorder="1" applyAlignment="1">
      <alignment horizontal="center" vertical="center"/>
    </xf>
    <xf numFmtId="1" fontId="0" fillId="6" borderId="35" xfId="0" applyNumberFormat="1" applyFill="1" applyBorder="1" applyAlignment="1">
      <alignment horizontal="center" vertical="center"/>
    </xf>
    <xf numFmtId="0" fontId="0" fillId="6" borderId="36" xfId="0" applyFill="1" applyBorder="1" applyAlignment="1">
      <alignment horizontal="center" vertical="center"/>
    </xf>
    <xf numFmtId="0" fontId="0" fillId="6" borderId="5" xfId="0" applyFill="1" applyBorder="1" applyAlignment="1">
      <alignment horizontal="left" vertical="top" wrapText="1"/>
    </xf>
    <xf numFmtId="0" fontId="0" fillId="4" borderId="5" xfId="0" applyFill="1" applyBorder="1"/>
    <xf numFmtId="0" fontId="0" fillId="5" borderId="46" xfId="0" applyFill="1" applyBorder="1"/>
    <xf numFmtId="0" fontId="0" fillId="2" borderId="49" xfId="0" applyFill="1" applyBorder="1"/>
    <xf numFmtId="0" fontId="0" fillId="6" borderId="49" xfId="0" applyFill="1" applyBorder="1"/>
    <xf numFmtId="0" fontId="0" fillId="4" borderId="49" xfId="0" applyFill="1" applyBorder="1"/>
    <xf numFmtId="0" fontId="0" fillId="2" borderId="3" xfId="0" applyFill="1" applyBorder="1"/>
    <xf numFmtId="0" fontId="36" fillId="23" borderId="88" xfId="0" applyFont="1" applyFill="1" applyBorder="1" applyAlignment="1">
      <alignment horizontal="left" vertical="top" wrapText="1"/>
    </xf>
    <xf numFmtId="0" fontId="0" fillId="6" borderId="35" xfId="0" applyFill="1" applyBorder="1" applyAlignment="1">
      <alignment horizontal="center" vertical="center"/>
    </xf>
    <xf numFmtId="0" fontId="1" fillId="6" borderId="35" xfId="0" applyFont="1" applyFill="1" applyBorder="1" applyAlignment="1">
      <alignment horizontal="center" vertical="center"/>
    </xf>
    <xf numFmtId="0" fontId="1" fillId="4" borderId="36" xfId="0" applyFont="1" applyFill="1" applyBorder="1" applyAlignment="1">
      <alignment vertical="center"/>
    </xf>
    <xf numFmtId="0" fontId="0" fillId="3" borderId="84" xfId="0" applyFill="1" applyBorder="1"/>
    <xf numFmtId="0" fontId="0" fillId="2" borderId="25" xfId="0" applyFill="1" applyBorder="1" applyAlignment="1">
      <alignment horizontal="center" vertical="center"/>
    </xf>
    <xf numFmtId="1" fontId="0" fillId="2" borderId="35" xfId="0" applyNumberFormat="1" applyFill="1" applyBorder="1" applyAlignment="1">
      <alignment horizontal="center" vertical="center"/>
    </xf>
    <xf numFmtId="0" fontId="0" fillId="2" borderId="36" xfId="0" applyFill="1" applyBorder="1" applyAlignment="1">
      <alignment horizontal="center" vertical="center"/>
    </xf>
    <xf numFmtId="0" fontId="0" fillId="2" borderId="5" xfId="0" applyFill="1" applyBorder="1" applyAlignment="1">
      <alignment horizontal="center" vertical="center"/>
    </xf>
    <xf numFmtId="0" fontId="0" fillId="2" borderId="5" xfId="0" applyFill="1" applyBorder="1" applyAlignment="1">
      <alignment horizontal="left" vertical="top" wrapText="1"/>
    </xf>
    <xf numFmtId="0" fontId="0" fillId="6" borderId="5" xfId="0" applyFill="1" applyBorder="1"/>
    <xf numFmtId="0" fontId="0" fillId="4" borderId="36" xfId="0" applyFill="1" applyBorder="1"/>
    <xf numFmtId="0" fontId="0" fillId="2" borderId="5" xfId="0" applyFill="1" applyBorder="1" applyAlignment="1">
      <alignment horizontal="left" vertical="center" wrapText="1"/>
    </xf>
    <xf numFmtId="0" fontId="0" fillId="5" borderId="19" xfId="0" applyFill="1" applyBorder="1"/>
    <xf numFmtId="1" fontId="0" fillId="0" borderId="42" xfId="0" applyNumberFormat="1" applyBorder="1" applyAlignment="1">
      <alignment horizontal="center"/>
    </xf>
    <xf numFmtId="0" fontId="0" fillId="0" borderId="42" xfId="0" applyBorder="1" applyAlignment="1">
      <alignment horizontal="center"/>
    </xf>
    <xf numFmtId="0" fontId="0" fillId="2" borderId="35" xfId="0" applyFill="1" applyBorder="1" applyAlignment="1">
      <alignment horizontal="center" vertical="center"/>
    </xf>
    <xf numFmtId="0" fontId="1" fillId="2" borderId="35" xfId="0" applyFont="1" applyFill="1" applyBorder="1" applyAlignment="1">
      <alignment vertical="center"/>
    </xf>
    <xf numFmtId="0" fontId="1" fillId="5" borderId="49" xfId="0" applyFont="1" applyFill="1" applyBorder="1" applyAlignment="1">
      <alignment vertical="center"/>
    </xf>
    <xf numFmtId="0" fontId="1" fillId="6" borderId="36" xfId="0" applyFont="1" applyFill="1" applyBorder="1" applyAlignment="1">
      <alignment horizontal="center" vertical="center"/>
    </xf>
    <xf numFmtId="0" fontId="0" fillId="3" borderId="85" xfId="0" applyFill="1" applyBorder="1"/>
    <xf numFmtId="0" fontId="0" fillId="5" borderId="26" xfId="0" applyFill="1" applyBorder="1" applyAlignment="1">
      <alignment horizontal="center" vertical="center"/>
    </xf>
    <xf numFmtId="1" fontId="0" fillId="5" borderId="12" xfId="0" applyNumberFormat="1" applyFill="1" applyBorder="1" applyAlignment="1">
      <alignment horizontal="center" vertical="center"/>
    </xf>
    <xf numFmtId="0" fontId="0" fillId="5" borderId="6" xfId="0" applyFill="1" applyBorder="1" applyAlignment="1">
      <alignment horizontal="center" vertical="center"/>
    </xf>
    <xf numFmtId="0" fontId="0" fillId="5" borderId="6" xfId="0" applyFill="1" applyBorder="1" applyAlignment="1">
      <alignment horizontal="left" vertical="top" wrapText="1"/>
    </xf>
    <xf numFmtId="0" fontId="0" fillId="2" borderId="5" xfId="0" applyFill="1" applyBorder="1"/>
    <xf numFmtId="0" fontId="0" fillId="6" borderId="36" xfId="0" applyFill="1" applyBorder="1"/>
    <xf numFmtId="0" fontId="37" fillId="4" borderId="35" xfId="0" applyFont="1" applyFill="1" applyBorder="1" applyAlignment="1">
      <alignment vertical="top" wrapText="1"/>
    </xf>
    <xf numFmtId="0" fontId="0" fillId="0" borderId="12" xfId="0" applyBorder="1" applyAlignment="1">
      <alignment horizontal="left" vertical="top" wrapText="1"/>
    </xf>
    <xf numFmtId="0" fontId="38" fillId="0" borderId="20" xfId="0" applyFont="1" applyBorder="1" applyAlignment="1">
      <alignment horizontal="left" vertical="top" wrapText="1"/>
    </xf>
    <xf numFmtId="0" fontId="0" fillId="5" borderId="12" xfId="0" applyFill="1" applyBorder="1" applyAlignment="1">
      <alignment horizontal="center" vertical="center"/>
    </xf>
    <xf numFmtId="0" fontId="0" fillId="0" borderId="73" xfId="0" applyBorder="1" applyAlignment="1">
      <alignment horizontal="center" vertical="center"/>
    </xf>
    <xf numFmtId="0" fontId="0" fillId="0" borderId="13" xfId="0" applyBorder="1" applyAlignment="1">
      <alignment horizontal="left" vertical="top" wrapText="1"/>
    </xf>
    <xf numFmtId="0" fontId="1" fillId="5" borderId="12" xfId="0" applyFont="1" applyFill="1" applyBorder="1" applyAlignment="1">
      <alignment vertical="center"/>
    </xf>
    <xf numFmtId="0" fontId="1" fillId="2" borderId="13" xfId="0" applyFont="1" applyFill="1" applyBorder="1" applyAlignment="1">
      <alignment vertical="center"/>
    </xf>
    <xf numFmtId="0" fontId="0" fillId="5" borderId="6" xfId="0" applyFill="1" applyBorder="1"/>
    <xf numFmtId="0" fontId="0" fillId="5" borderId="73" xfId="0" applyFill="1" applyBorder="1"/>
    <xf numFmtId="0" fontId="0" fillId="5" borderId="57" xfId="0" applyFill="1" applyBorder="1"/>
    <xf numFmtId="0" fontId="0" fillId="2" borderId="57" xfId="0" applyFill="1" applyBorder="1"/>
    <xf numFmtId="0" fontId="0" fillId="2" borderId="13" xfId="0" applyFill="1" applyBorder="1"/>
    <xf numFmtId="0" fontId="3" fillId="4" borderId="35" xfId="0" applyFont="1" applyFill="1" applyBorder="1" applyAlignment="1">
      <alignment vertical="top" wrapText="1"/>
    </xf>
    <xf numFmtId="0" fontId="3" fillId="0" borderId="49" xfId="0" applyFont="1" applyBorder="1" applyAlignment="1">
      <alignment wrapText="1"/>
    </xf>
    <xf numFmtId="0" fontId="0" fillId="3" borderId="87" xfId="0" applyFill="1" applyBorder="1"/>
    <xf numFmtId="0" fontId="0" fillId="0" borderId="36" xfId="0" applyBorder="1" applyAlignment="1">
      <alignment vertical="center" wrapText="1"/>
    </xf>
    <xf numFmtId="0" fontId="7" fillId="10" borderId="84" xfId="0" applyFont="1" applyFill="1" applyBorder="1"/>
    <xf numFmtId="0" fontId="0" fillId="0" borderId="36" xfId="0" applyBorder="1" applyAlignment="1">
      <alignment vertical="top" wrapText="1"/>
    </xf>
    <xf numFmtId="0" fontId="3" fillId="23" borderId="49" xfId="0" applyFont="1" applyFill="1" applyBorder="1" applyAlignment="1">
      <alignment vertical="center" wrapText="1"/>
    </xf>
    <xf numFmtId="0" fontId="3" fillId="23" borderId="36" xfId="0" applyFont="1" applyFill="1" applyBorder="1" applyAlignment="1">
      <alignment vertical="center" wrapText="1"/>
    </xf>
    <xf numFmtId="0" fontId="7" fillId="10" borderId="87" xfId="0" applyFont="1" applyFill="1" applyBorder="1"/>
    <xf numFmtId="0" fontId="7" fillId="4" borderId="0" xfId="0" applyFont="1" applyFill="1"/>
    <xf numFmtId="0" fontId="0" fillId="5" borderId="5" xfId="0" applyFill="1" applyBorder="1"/>
    <xf numFmtId="0" fontId="3" fillId="3" borderId="49" xfId="0" applyFont="1" applyFill="1" applyBorder="1" applyAlignment="1">
      <alignment horizontal="left" vertical="center"/>
    </xf>
    <xf numFmtId="0" fontId="3" fillId="3" borderId="40" xfId="0" applyFont="1" applyFill="1" applyBorder="1" applyAlignment="1">
      <alignment horizontal="left" vertical="top" wrapText="1"/>
    </xf>
    <xf numFmtId="0" fontId="7" fillId="12" borderId="84" xfId="0" applyFont="1" applyFill="1" applyBorder="1"/>
    <xf numFmtId="0" fontId="0" fillId="0" borderId="12" xfId="0" applyBorder="1" applyAlignment="1">
      <alignment horizontal="center" vertical="center"/>
    </xf>
    <xf numFmtId="0" fontId="0" fillId="0" borderId="57" xfId="0" applyBorder="1" applyAlignment="1">
      <alignment horizontal="left" vertical="top" wrapText="1"/>
    </xf>
    <xf numFmtId="0" fontId="3" fillId="3" borderId="41" xfId="0" applyFont="1" applyFill="1" applyBorder="1" applyAlignment="1">
      <alignment horizontal="left" vertical="top" wrapText="1"/>
    </xf>
    <xf numFmtId="0" fontId="7" fillId="14" borderId="22" xfId="0" applyFont="1" applyFill="1" applyBorder="1"/>
    <xf numFmtId="0" fontId="7" fillId="12" borderId="87" xfId="0" applyFont="1" applyFill="1" applyBorder="1"/>
    <xf numFmtId="0" fontId="7" fillId="0" borderId="6" xfId="0" applyFont="1" applyBorder="1"/>
    <xf numFmtId="0" fontId="3" fillId="3" borderId="22" xfId="0" applyFont="1" applyFill="1" applyBorder="1" applyAlignment="1">
      <alignment horizontal="left" vertical="top" wrapText="1"/>
    </xf>
    <xf numFmtId="0" fontId="37" fillId="6" borderId="35" xfId="0" applyFont="1" applyFill="1" applyBorder="1" applyAlignment="1">
      <alignment wrapText="1"/>
    </xf>
    <xf numFmtId="0" fontId="0" fillId="0" borderId="65" xfId="0" applyBorder="1" applyAlignment="1">
      <alignment wrapText="1"/>
    </xf>
    <xf numFmtId="0" fontId="7" fillId="12" borderId="2" xfId="0" applyFont="1" applyFill="1" applyBorder="1"/>
    <xf numFmtId="0" fontId="0" fillId="4" borderId="4" xfId="0" applyFill="1" applyBorder="1"/>
    <xf numFmtId="0" fontId="0" fillId="5" borderId="40" xfId="0" applyFill="1" applyBorder="1"/>
    <xf numFmtId="0" fontId="0" fillId="0" borderId="57" xfId="0" applyBorder="1" applyAlignment="1">
      <alignment horizontal="left" vertical="top"/>
    </xf>
    <xf numFmtId="0" fontId="3" fillId="6" borderId="35" xfId="0" applyFont="1" applyFill="1" applyBorder="1" applyAlignment="1">
      <alignment vertical="top" wrapText="1"/>
    </xf>
    <xf numFmtId="0" fontId="3" fillId="0" borderId="36" xfId="0" applyFont="1" applyBorder="1" applyAlignment="1">
      <alignment wrapText="1"/>
    </xf>
    <xf numFmtId="0" fontId="7" fillId="12" borderId="3" xfId="0" applyFont="1" applyFill="1" applyBorder="1"/>
    <xf numFmtId="0" fontId="0" fillId="5" borderId="41" xfId="0" applyFill="1" applyBorder="1"/>
    <xf numFmtId="0" fontId="7" fillId="4" borderId="5" xfId="0" applyFont="1" applyFill="1" applyBorder="1"/>
    <xf numFmtId="0" fontId="0" fillId="0" borderId="36" xfId="0" applyBorder="1" applyAlignment="1">
      <alignment wrapText="1"/>
    </xf>
    <xf numFmtId="0" fontId="7" fillId="12" borderId="19" xfId="0" applyFont="1" applyFill="1" applyBorder="1"/>
    <xf numFmtId="0" fontId="0" fillId="4" borderId="6" xfId="0" applyFill="1" applyBorder="1"/>
    <xf numFmtId="0" fontId="0" fillId="5" borderId="22" xfId="0" applyFill="1" applyBorder="1"/>
    <xf numFmtId="0" fontId="7" fillId="22" borderId="40" xfId="0" applyFont="1" applyFill="1" applyBorder="1"/>
    <xf numFmtId="0" fontId="7" fillId="6" borderId="4" xfId="0" applyFont="1" applyFill="1" applyBorder="1"/>
    <xf numFmtId="0" fontId="31" fillId="0" borderId="0" xfId="0" applyFont="1"/>
    <xf numFmtId="0" fontId="19" fillId="0" borderId="0" xfId="0" applyFont="1" applyAlignment="1">
      <alignment horizontal="left" vertical="top"/>
    </xf>
    <xf numFmtId="0" fontId="7" fillId="22" borderId="41" xfId="0" applyFont="1" applyFill="1" applyBorder="1"/>
    <xf numFmtId="0" fontId="7" fillId="6" borderId="5" xfId="0" applyFont="1" applyFill="1" applyBorder="1"/>
    <xf numFmtId="0" fontId="7" fillId="22" borderId="22" xfId="0" applyFont="1" applyFill="1" applyBorder="1"/>
    <xf numFmtId="0" fontId="7" fillId="6" borderId="6" xfId="0" applyFont="1" applyFill="1" applyBorder="1"/>
    <xf numFmtId="0" fontId="7" fillId="8" borderId="40" xfId="0" applyFont="1" applyFill="1" applyBorder="1"/>
    <xf numFmtId="0" fontId="7" fillId="4" borderId="89" xfId="0" applyFont="1" applyFill="1" applyBorder="1"/>
    <xf numFmtId="0" fontId="7" fillId="8" borderId="41" xfId="0" applyFont="1" applyFill="1" applyBorder="1"/>
    <xf numFmtId="0" fontId="7" fillId="4" borderId="90" xfId="0" applyFont="1" applyFill="1" applyBorder="1"/>
    <xf numFmtId="0" fontId="37" fillId="10" borderId="35" xfId="0" applyFont="1" applyFill="1" applyBorder="1" applyAlignment="1">
      <alignment wrapText="1"/>
    </xf>
    <xf numFmtId="0" fontId="0" fillId="5" borderId="1" xfId="0" applyFill="1" applyBorder="1"/>
    <xf numFmtId="0" fontId="3" fillId="10" borderId="35" xfId="0" applyFont="1" applyFill="1" applyBorder="1" applyAlignment="1">
      <alignment vertical="top" wrapText="1"/>
    </xf>
    <xf numFmtId="0" fontId="7" fillId="4" borderId="91" xfId="0" applyFont="1" applyFill="1" applyBorder="1"/>
    <xf numFmtId="0" fontId="3" fillId="4" borderId="49" xfId="0" applyFont="1" applyFill="1" applyBorder="1" applyAlignment="1">
      <alignment horizontal="left" vertical="center"/>
    </xf>
    <xf numFmtId="0" fontId="7" fillId="8" borderId="22" xfId="0" applyFont="1" applyFill="1" applyBorder="1"/>
    <xf numFmtId="0" fontId="7" fillId="4" borderId="92" xfId="0" applyFont="1" applyFill="1" applyBorder="1"/>
    <xf numFmtId="0" fontId="7" fillId="6" borderId="93" xfId="0" applyFont="1" applyFill="1" applyBorder="1"/>
    <xf numFmtId="0" fontId="7" fillId="6" borderId="94" xfId="0" applyFont="1" applyFill="1" applyBorder="1"/>
    <xf numFmtId="0" fontId="0" fillId="0" borderId="31" xfId="0" applyBorder="1" applyAlignment="1">
      <alignment horizontal="center" vertical="center"/>
    </xf>
    <xf numFmtId="0" fontId="3" fillId="4" borderId="57" xfId="0" applyFont="1" applyFill="1" applyBorder="1" applyAlignment="1">
      <alignment horizontal="left" vertical="center"/>
    </xf>
    <xf numFmtId="0" fontId="3" fillId="12" borderId="35" xfId="0" applyFont="1" applyFill="1" applyBorder="1" applyAlignment="1">
      <alignment horizontal="left" vertical="top" wrapText="1"/>
    </xf>
    <xf numFmtId="0" fontId="3" fillId="12" borderId="35" xfId="0" applyFont="1" applyFill="1" applyBorder="1" applyAlignment="1">
      <alignment vertical="top" wrapText="1"/>
    </xf>
    <xf numFmtId="0" fontId="37" fillId="2" borderId="35" xfId="0" applyFont="1" applyFill="1" applyBorder="1" applyAlignment="1">
      <alignment wrapText="1"/>
    </xf>
    <xf numFmtId="0" fontId="3" fillId="2" borderId="35" xfId="0" applyFont="1" applyFill="1" applyBorder="1" applyAlignment="1">
      <alignment vertical="top" wrapText="1"/>
    </xf>
    <xf numFmtId="0" fontId="37" fillId="14" borderId="35" xfId="0" applyFont="1" applyFill="1" applyBorder="1" applyAlignment="1">
      <alignment wrapText="1"/>
    </xf>
    <xf numFmtId="0" fontId="3" fillId="14" borderId="35" xfId="0" applyFont="1" applyFill="1" applyBorder="1" applyAlignment="1">
      <alignment vertical="top" wrapText="1"/>
    </xf>
    <xf numFmtId="0" fontId="3" fillId="14" borderId="35" xfId="0" applyFont="1" applyFill="1" applyBorder="1" applyAlignment="1">
      <alignment wrapText="1"/>
    </xf>
    <xf numFmtId="0" fontId="3" fillId="14" borderId="12" xfId="0" applyFont="1" applyFill="1" applyBorder="1" applyAlignment="1">
      <alignment wrapText="1"/>
    </xf>
    <xf numFmtId="0" fontId="3" fillId="0" borderId="57" xfId="0" applyFont="1" applyBorder="1" applyAlignment="1">
      <alignment wrapText="1"/>
    </xf>
    <xf numFmtId="0" fontId="3" fillId="0" borderId="13" xfId="0" applyFont="1" applyBorder="1" applyAlignment="1">
      <alignment wrapText="1"/>
    </xf>
    <xf numFmtId="0" fontId="1" fillId="4" borderId="1" xfId="0" applyFont="1" applyFill="1" applyBorder="1" applyAlignment="1">
      <alignment horizontal="left" vertical="top"/>
    </xf>
    <xf numFmtId="0" fontId="0" fillId="4" borderId="1" xfId="0" applyFill="1" applyBorder="1" applyAlignment="1">
      <alignment horizontal="center" vertical="top"/>
    </xf>
    <xf numFmtId="1" fontId="0" fillId="4" borderId="1" xfId="0" applyNumberFormat="1" applyFill="1" applyBorder="1" applyAlignment="1">
      <alignment horizontal="center" vertical="top"/>
    </xf>
    <xf numFmtId="0" fontId="0" fillId="24" borderId="1" xfId="0" applyFill="1" applyBorder="1" applyAlignment="1">
      <alignment horizontal="center" vertical="center"/>
    </xf>
    <xf numFmtId="0" fontId="0" fillId="24" borderId="21" xfId="0" applyFill="1" applyBorder="1" applyAlignment="1">
      <alignment horizontal="center" vertical="center"/>
    </xf>
    <xf numFmtId="0" fontId="0" fillId="24" borderId="33" xfId="0" applyFill="1" applyBorder="1" applyAlignment="1">
      <alignment horizontal="center" vertical="center"/>
    </xf>
    <xf numFmtId="0" fontId="0" fillId="24" borderId="32" xfId="0" applyFill="1" applyBorder="1" applyAlignment="1">
      <alignment horizontal="center" vertical="center"/>
    </xf>
    <xf numFmtId="0" fontId="3" fillId="0" borderId="5" xfId="0" applyFont="1" applyBorder="1" applyAlignment="1">
      <alignment horizontal="left" vertical="center"/>
    </xf>
    <xf numFmtId="0" fontId="3" fillId="0" borderId="7" xfId="0" applyFont="1" applyBorder="1" applyAlignment="1">
      <alignment horizontal="left" vertical="center"/>
    </xf>
    <xf numFmtId="0" fontId="0" fillId="3" borderId="5" xfId="0" applyFill="1" applyBorder="1"/>
    <xf numFmtId="0" fontId="0" fillId="6" borderId="4" xfId="0" applyFill="1" applyBorder="1"/>
    <xf numFmtId="0" fontId="1" fillId="0" borderId="2" xfId="0" applyFont="1" applyBorder="1" applyAlignment="1">
      <alignment horizontal="center" vertical="center"/>
    </xf>
    <xf numFmtId="0" fontId="0" fillId="0" borderId="53" xfId="0" applyBorder="1" applyAlignment="1">
      <alignment horizontal="center" vertical="center"/>
    </xf>
    <xf numFmtId="0" fontId="1" fillId="15" borderId="19" xfId="0" applyFont="1" applyFill="1" applyBorder="1" applyAlignment="1">
      <alignment horizontal="center" vertical="center"/>
    </xf>
    <xf numFmtId="0" fontId="1" fillId="0" borderId="59" xfId="0" applyFont="1" applyBorder="1" applyAlignment="1">
      <alignment horizontal="center" vertical="center"/>
    </xf>
    <xf numFmtId="0" fontId="1" fillId="0" borderId="38" xfId="0" applyFont="1" applyBorder="1" applyAlignment="1">
      <alignment horizontal="center" vertical="center"/>
    </xf>
    <xf numFmtId="0" fontId="20" fillId="4" borderId="1" xfId="0" applyFont="1" applyFill="1" applyBorder="1" applyAlignment="1">
      <alignment horizontal="center" vertical="center"/>
    </xf>
    <xf numFmtId="0" fontId="0" fillId="4" borderId="0" xfId="0" applyFill="1"/>
    <xf numFmtId="0" fontId="0" fillId="6" borderId="0" xfId="0" applyFill="1"/>
    <xf numFmtId="0" fontId="3" fillId="4" borderId="25" xfId="0" applyFont="1" applyFill="1" applyBorder="1" applyAlignment="1">
      <alignment horizontal="left" vertical="center"/>
    </xf>
    <xf numFmtId="0" fontId="3" fillId="4" borderId="29" xfId="0" applyFont="1" applyFill="1" applyBorder="1" applyAlignment="1">
      <alignment horizontal="left" vertical="center"/>
    </xf>
    <xf numFmtId="0" fontId="0" fillId="4" borderId="25" xfId="0" applyFill="1" applyBorder="1"/>
    <xf numFmtId="0" fontId="0" fillId="6" borderId="30" xfId="0" applyFill="1" applyBorder="1"/>
    <xf numFmtId="0" fontId="0" fillId="6" borderId="10" xfId="0" applyFill="1" applyBorder="1"/>
    <xf numFmtId="0" fontId="0" fillId="6" borderId="14" xfId="0" applyFill="1" applyBorder="1"/>
    <xf numFmtId="0" fontId="0" fillId="11" borderId="1" xfId="0" applyFill="1" applyBorder="1" applyAlignment="1">
      <alignment horizontal="center" vertical="center"/>
    </xf>
    <xf numFmtId="0" fontId="1" fillId="15" borderId="47" xfId="0" applyFont="1" applyFill="1" applyBorder="1" applyAlignment="1">
      <alignment horizontal="center" vertical="center"/>
    </xf>
    <xf numFmtId="0" fontId="1" fillId="15" borderId="3" xfId="0" applyFont="1" applyFill="1" applyBorder="1" applyAlignment="1">
      <alignment horizontal="center" vertical="center"/>
    </xf>
    <xf numFmtId="0" fontId="1" fillId="0" borderId="48" xfId="0" applyFont="1" applyBorder="1" applyAlignment="1">
      <alignment horizontal="center" vertical="center"/>
    </xf>
    <xf numFmtId="0" fontId="1" fillId="0" borderId="50" xfId="0" applyFont="1" applyBorder="1" applyAlignment="1">
      <alignment horizontal="center" vertical="center"/>
    </xf>
    <xf numFmtId="0" fontId="0" fillId="11" borderId="1" xfId="0" applyFill="1" applyBorder="1"/>
    <xf numFmtId="49" fontId="0" fillId="11" borderId="1" xfId="0" applyNumberFormat="1" applyFill="1" applyBorder="1"/>
    <xf numFmtId="0" fontId="0" fillId="4" borderId="29" xfId="0" applyFill="1" applyBorder="1"/>
    <xf numFmtId="0" fontId="0" fillId="4" borderId="26" xfId="0" applyFill="1" applyBorder="1"/>
    <xf numFmtId="0" fontId="1" fillId="16" borderId="1" xfId="0" applyFont="1" applyFill="1" applyBorder="1"/>
    <xf numFmtId="0" fontId="1" fillId="7" borderId="2" xfId="0" applyFont="1" applyFill="1" applyBorder="1"/>
    <xf numFmtId="49" fontId="18" fillId="7" borderId="25" xfId="0" applyNumberFormat="1" applyFont="1" applyFill="1" applyBorder="1" applyAlignment="1">
      <alignment horizontal="left" vertical="center"/>
    </xf>
    <xf numFmtId="49" fontId="18" fillId="0" borderId="25" xfId="0" applyNumberFormat="1" applyFont="1" applyBorder="1" applyAlignment="1">
      <alignment horizontal="left" vertical="center"/>
    </xf>
    <xf numFmtId="0" fontId="1" fillId="7" borderId="9" xfId="0" applyFont="1" applyFill="1" applyBorder="1" applyAlignment="1">
      <alignment horizontal="left" vertical="top" wrapText="1"/>
    </xf>
    <xf numFmtId="0" fontId="1" fillId="7" borderId="24" xfId="0" applyFont="1" applyFill="1" applyBorder="1" applyAlignment="1">
      <alignment horizontal="left" vertical="top" wrapText="1"/>
    </xf>
    <xf numFmtId="0" fontId="1" fillId="7" borderId="11" xfId="0" applyFont="1" applyFill="1" applyBorder="1" applyAlignment="1">
      <alignment horizontal="left" vertical="top" wrapText="1"/>
    </xf>
    <xf numFmtId="49" fontId="18" fillId="0" borderId="0" xfId="0" applyNumberFormat="1" applyFont="1" applyAlignment="1">
      <alignment horizontal="left" vertical="center"/>
    </xf>
    <xf numFmtId="0" fontId="0" fillId="0" borderId="0" xfId="0" applyAlignment="1">
      <alignment wrapText="1"/>
    </xf>
    <xf numFmtId="49" fontId="18" fillId="7" borderId="19" xfId="0" applyNumberFormat="1" applyFont="1" applyFill="1" applyBorder="1" applyAlignment="1">
      <alignment horizontal="left" vertical="center"/>
    </xf>
    <xf numFmtId="0" fontId="1" fillId="11" borderId="1" xfId="0" applyFont="1" applyFill="1" applyBorder="1" applyAlignment="1">
      <alignment horizontal="left" vertical="top"/>
    </xf>
    <xf numFmtId="0" fontId="0" fillId="17" borderId="0" xfId="0" applyFill="1"/>
    <xf numFmtId="49" fontId="18" fillId="7" borderId="66" xfId="0" applyNumberFormat="1" applyFont="1" applyFill="1" applyBorder="1" applyAlignment="1">
      <alignment horizontal="left" vertical="center"/>
    </xf>
    <xf numFmtId="49" fontId="18" fillId="0" borderId="1" xfId="0" applyNumberFormat="1" applyFont="1" applyBorder="1" applyAlignment="1">
      <alignment horizontal="center"/>
    </xf>
    <xf numFmtId="0" fontId="0" fillId="0" borderId="1" xfId="0" applyBorder="1" applyAlignment="1">
      <alignment horizontal="center" wrapText="1"/>
    </xf>
    <xf numFmtId="49" fontId="18" fillId="7" borderId="1" xfId="0" applyNumberFormat="1" applyFont="1" applyFill="1" applyBorder="1" applyAlignment="1">
      <alignment horizontal="left" vertical="center"/>
    </xf>
    <xf numFmtId="49" fontId="18" fillId="0" borderId="1" xfId="0" applyNumberFormat="1" applyFont="1" applyBorder="1" applyAlignment="1">
      <alignment horizontal="left" vertical="center"/>
    </xf>
    <xf numFmtId="49" fontId="18" fillId="0" borderId="1" xfId="0" applyNumberFormat="1" applyFont="1" applyBorder="1" applyAlignment="1">
      <alignment horizontal="left" vertical="top" wrapText="1"/>
    </xf>
    <xf numFmtId="2" fontId="18" fillId="0" borderId="25" xfId="0" applyNumberFormat="1" applyFont="1" applyBorder="1" applyAlignment="1">
      <alignment horizontal="center" vertical="center"/>
    </xf>
    <xf numFmtId="2" fontId="18" fillId="7" borderId="66" xfId="0" applyNumberFormat="1" applyFont="1" applyFill="1" applyBorder="1" applyAlignment="1">
      <alignment horizontal="center" vertical="center"/>
    </xf>
    <xf numFmtId="2" fontId="18" fillId="7" borderId="19" xfId="0" applyNumberFormat="1" applyFont="1" applyFill="1" applyBorder="1" applyAlignment="1">
      <alignment horizontal="center" vertical="center"/>
    </xf>
    <xf numFmtId="2" fontId="18" fillId="7" borderId="25" xfId="0" applyNumberFormat="1" applyFont="1" applyFill="1" applyBorder="1" applyAlignment="1">
      <alignment horizontal="center" vertical="center"/>
    </xf>
    <xf numFmtId="0" fontId="17" fillId="3" borderId="1" xfId="0" applyFont="1" applyFill="1" applyBorder="1" applyAlignment="1">
      <alignment horizontal="left" vertical="top"/>
    </xf>
    <xf numFmtId="49" fontId="0" fillId="0" borderId="0" xfId="0" applyNumberFormat="1" applyAlignment="1">
      <alignment horizontal="center" vertical="center"/>
    </xf>
    <xf numFmtId="0" fontId="20" fillId="0" borderId="21" xfId="0" applyFont="1" applyBorder="1" applyAlignment="1">
      <alignment horizontal="center" vertical="center"/>
    </xf>
    <xf numFmtId="0" fontId="1" fillId="0" borderId="52" xfId="0" applyFont="1" applyBorder="1" applyAlignment="1">
      <alignment horizontal="center" vertical="center"/>
    </xf>
    <xf numFmtId="0" fontId="0" fillId="0" borderId="54" xfId="0" applyBorder="1" applyAlignment="1">
      <alignment horizontal="center" vertical="center"/>
    </xf>
    <xf numFmtId="0" fontId="0" fillId="0" borderId="48" xfId="0" applyBorder="1"/>
    <xf numFmtId="0" fontId="4" fillId="0" borderId="48" xfId="1" applyBorder="1"/>
    <xf numFmtId="0" fontId="9" fillId="0" borderId="48" xfId="0" applyFont="1" applyBorder="1" applyAlignment="1">
      <alignment vertical="center"/>
    </xf>
    <xf numFmtId="0" fontId="0" fillId="0" borderId="64" xfId="0" applyBorder="1" applyAlignment="1">
      <alignment horizontal="center" vertical="center"/>
    </xf>
    <xf numFmtId="0" fontId="0" fillId="5" borderId="17" xfId="0" applyFill="1" applyBorder="1" applyAlignment="1">
      <alignment horizontal="center" vertical="center"/>
    </xf>
    <xf numFmtId="0" fontId="0" fillId="5" borderId="51" xfId="0" applyFill="1" applyBorder="1" applyAlignment="1">
      <alignment horizontal="center" vertical="center"/>
    </xf>
    <xf numFmtId="0" fontId="0" fillId="5" borderId="1" xfId="0" applyFill="1" applyBorder="1" applyAlignment="1">
      <alignment horizontal="center" vertical="center"/>
    </xf>
    <xf numFmtId="0" fontId="1" fillId="0" borderId="0" xfId="0" applyFont="1" applyAlignment="1">
      <alignment horizontal="center" vertical="center"/>
    </xf>
    <xf numFmtId="0" fontId="20" fillId="0" borderId="0" xfId="0" applyFont="1" applyAlignment="1">
      <alignment horizontal="center" vertical="center"/>
    </xf>
    <xf numFmtId="0" fontId="26" fillId="0" borderId="0" xfId="0" applyFont="1" applyAlignment="1">
      <alignment horizontal="center" vertical="center"/>
    </xf>
    <xf numFmtId="0" fontId="20" fillId="21" borderId="21" xfId="0" applyFont="1" applyFill="1" applyBorder="1" applyAlignment="1">
      <alignment horizontal="center" vertical="center"/>
    </xf>
    <xf numFmtId="0" fontId="20" fillId="21" borderId="32" xfId="0" applyFont="1" applyFill="1" applyBorder="1" applyAlignment="1">
      <alignment horizontal="center" vertical="center"/>
    </xf>
    <xf numFmtId="0" fontId="1" fillId="0" borderId="0" xfId="0" applyFont="1" applyAlignment="1">
      <alignment horizontal="right" vertical="center"/>
    </xf>
    <xf numFmtId="0" fontId="1" fillId="8" borderId="1" xfId="0" applyFont="1" applyFill="1" applyBorder="1"/>
    <xf numFmtId="0" fontId="1" fillId="0" borderId="0" xfId="0" quotePrefix="1" applyFont="1"/>
    <xf numFmtId="0" fontId="1" fillId="7" borderId="0" xfId="0" quotePrefix="1" applyFont="1" applyFill="1"/>
    <xf numFmtId="0" fontId="1" fillId="7" borderId="0" xfId="0" quotePrefix="1" applyFont="1" applyFill="1" applyAlignment="1">
      <alignment horizontal="right"/>
    </xf>
    <xf numFmtId="0" fontId="1" fillId="0" borderId="0" xfId="0" applyFont="1" applyAlignment="1">
      <alignment horizontal="right"/>
    </xf>
    <xf numFmtId="0" fontId="1" fillId="0" borderId="0" xfId="0" applyFont="1" applyAlignment="1">
      <alignment horizontal="left" vertical="top"/>
    </xf>
    <xf numFmtId="0" fontId="1" fillId="12" borderId="0" xfId="0" quotePrefix="1" applyFont="1" applyFill="1"/>
    <xf numFmtId="0" fontId="1" fillId="4" borderId="0" xfId="0" quotePrefix="1" applyFont="1" applyFill="1"/>
    <xf numFmtId="0" fontId="0" fillId="7" borderId="0" xfId="0" applyFill="1" applyAlignment="1">
      <alignment horizontal="right"/>
    </xf>
    <xf numFmtId="0" fontId="1" fillId="25" borderId="1" xfId="0" applyFont="1" applyFill="1" applyBorder="1" applyAlignment="1">
      <alignment horizontal="left" vertical="top"/>
    </xf>
    <xf numFmtId="0" fontId="16" fillId="0" borderId="0" xfId="0" applyFont="1" applyAlignment="1">
      <alignment horizontal="left" vertical="top" indent="1"/>
    </xf>
    <xf numFmtId="0" fontId="0" fillId="6" borderId="4" xfId="0" applyFill="1" applyBorder="1" applyAlignment="1">
      <alignment vertical="top" wrapText="1"/>
    </xf>
    <xf numFmtId="0" fontId="0" fillId="4" borderId="4" xfId="0" applyFill="1" applyBorder="1" applyAlignment="1">
      <alignment vertical="top" wrapText="1"/>
    </xf>
    <xf numFmtId="0" fontId="0" fillId="6" borderId="7" xfId="0" applyFill="1" applyBorder="1" applyAlignment="1">
      <alignment vertical="top" wrapText="1"/>
    </xf>
    <xf numFmtId="0" fontId="0" fillId="4" borderId="5" xfId="0" applyFill="1" applyBorder="1" applyAlignment="1">
      <alignment vertical="top" wrapText="1"/>
    </xf>
    <xf numFmtId="0" fontId="0" fillId="6" borderId="5" xfId="0" applyFill="1" applyBorder="1" applyAlignment="1">
      <alignment vertical="top" wrapText="1"/>
    </xf>
    <xf numFmtId="0" fontId="0" fillId="3" borderId="5" xfId="0" applyFill="1" applyBorder="1" applyAlignment="1">
      <alignment vertical="top" wrapText="1"/>
    </xf>
    <xf numFmtId="0" fontId="0" fillId="0" borderId="5" xfId="0" applyBorder="1" applyAlignment="1">
      <alignment vertical="top" wrapText="1"/>
    </xf>
    <xf numFmtId="0" fontId="0" fillId="6" borderId="41" xfId="0" applyFill="1" applyBorder="1" applyAlignment="1">
      <alignment vertical="top" wrapText="1"/>
    </xf>
    <xf numFmtId="0" fontId="0" fillId="0" borderId="5" xfId="0" applyBorder="1" applyAlignment="1">
      <alignment vertical="top"/>
    </xf>
    <xf numFmtId="0" fontId="0" fillId="0" borderId="6" xfId="0" applyBorder="1" applyAlignment="1">
      <alignment vertical="top"/>
    </xf>
    <xf numFmtId="0" fontId="3" fillId="2" borderId="4" xfId="0" applyFont="1" applyFill="1" applyBorder="1" applyAlignment="1">
      <alignment vertical="top" wrapText="1"/>
    </xf>
    <xf numFmtId="0" fontId="3" fillId="3" borderId="4" xfId="0" applyFont="1" applyFill="1" applyBorder="1" applyAlignment="1">
      <alignment vertical="top" wrapText="1"/>
    </xf>
    <xf numFmtId="0" fontId="3" fillId="6" borderId="4" xfId="0" applyFont="1" applyFill="1" applyBorder="1" applyAlignment="1">
      <alignment vertical="top" wrapText="1"/>
    </xf>
    <xf numFmtId="0" fontId="3" fillId="4" borderId="4" xfId="0" applyFont="1" applyFill="1" applyBorder="1" applyAlignment="1">
      <alignment vertical="top" wrapText="1"/>
    </xf>
    <xf numFmtId="0" fontId="3" fillId="2" borderId="5" xfId="0" applyFont="1" applyFill="1" applyBorder="1" applyAlignment="1">
      <alignment vertical="top" wrapText="1"/>
    </xf>
    <xf numFmtId="0" fontId="3" fillId="3" borderId="7" xfId="0" applyFont="1" applyFill="1" applyBorder="1" applyAlignment="1">
      <alignment vertical="top" wrapText="1"/>
    </xf>
    <xf numFmtId="0" fontId="3" fillId="6" borderId="10" xfId="0" applyFont="1" applyFill="1" applyBorder="1" applyAlignment="1">
      <alignment vertical="top" wrapText="1"/>
    </xf>
    <xf numFmtId="0" fontId="3" fillId="4" borderId="5" xfId="0" applyFont="1" applyFill="1" applyBorder="1" applyAlignment="1">
      <alignment vertical="top" wrapText="1"/>
    </xf>
    <xf numFmtId="0" fontId="3" fillId="4" borderId="41" xfId="0" applyFont="1" applyFill="1" applyBorder="1" applyAlignment="1">
      <alignment vertical="top" wrapText="1"/>
    </xf>
    <xf numFmtId="0" fontId="3" fillId="0" borderId="5" xfId="0" applyFont="1" applyBorder="1" applyAlignment="1">
      <alignment vertical="top" wrapText="1"/>
    </xf>
    <xf numFmtId="0" fontId="3" fillId="0" borderId="7" xfId="0" applyFont="1" applyBorder="1" applyAlignment="1">
      <alignment vertical="top" wrapText="1"/>
    </xf>
    <xf numFmtId="0" fontId="3" fillId="6" borderId="5" xfId="0" applyFont="1" applyFill="1" applyBorder="1" applyAlignment="1">
      <alignment vertical="top" wrapText="1"/>
    </xf>
    <xf numFmtId="0" fontId="3" fillId="4" borderId="7" xfId="0" applyFont="1" applyFill="1" applyBorder="1" applyAlignment="1">
      <alignment vertical="top" wrapText="1"/>
    </xf>
    <xf numFmtId="0" fontId="3" fillId="6" borderId="7" xfId="0" applyFont="1" applyFill="1" applyBorder="1" applyAlignment="1">
      <alignment vertical="top" wrapText="1"/>
    </xf>
    <xf numFmtId="0" fontId="46" fillId="26" borderId="96" xfId="0" applyFont="1" applyFill="1" applyBorder="1" applyAlignment="1">
      <alignment horizontal="center" vertical="center"/>
    </xf>
    <xf numFmtId="0" fontId="42" fillId="26" borderId="98" xfId="0" applyFont="1" applyFill="1" applyBorder="1" applyAlignment="1">
      <alignment horizontal="left" vertical="top"/>
    </xf>
    <xf numFmtId="0" fontId="43" fillId="26" borderId="99" xfId="0" quotePrefix="1" applyFont="1" applyFill="1" applyBorder="1" applyAlignment="1">
      <alignment horizontal="left" vertical="top"/>
    </xf>
    <xf numFmtId="0" fontId="42" fillId="26" borderId="100" xfId="0" applyFont="1" applyFill="1" applyBorder="1" applyAlignment="1">
      <alignment horizontal="left" vertical="top"/>
    </xf>
    <xf numFmtId="0" fontId="43" fillId="26" borderId="101" xfId="0" applyFont="1" applyFill="1" applyBorder="1" applyAlignment="1">
      <alignment horizontal="left" vertical="top"/>
    </xf>
    <xf numFmtId="0" fontId="0" fillId="24" borderId="4" xfId="0" applyFill="1" applyBorder="1" applyAlignment="1">
      <alignment horizontal="center" vertical="center"/>
    </xf>
    <xf numFmtId="0" fontId="0" fillId="24" borderId="5" xfId="0" applyFill="1" applyBorder="1" applyAlignment="1">
      <alignment horizontal="center" vertical="center"/>
    </xf>
    <xf numFmtId="0" fontId="0" fillId="24" borderId="6" xfId="0" applyFill="1" applyBorder="1" applyAlignment="1">
      <alignment horizontal="center" vertical="center"/>
    </xf>
    <xf numFmtId="0" fontId="20" fillId="17" borderId="1" xfId="0" applyFont="1" applyFill="1" applyBorder="1" applyAlignment="1">
      <alignment horizontal="center" vertical="center"/>
    </xf>
    <xf numFmtId="0" fontId="49" fillId="26" borderId="97" xfId="0" quotePrefix="1" applyFont="1" applyFill="1" applyBorder="1" applyAlignment="1">
      <alignment horizontal="left" vertical="center"/>
    </xf>
    <xf numFmtId="0" fontId="1" fillId="7" borderId="1" xfId="0" applyFont="1" applyFill="1" applyBorder="1"/>
    <xf numFmtId="0" fontId="1" fillId="7" borderId="1" xfId="0" applyFont="1" applyFill="1" applyBorder="1" applyAlignment="1">
      <alignment horizontal="right"/>
    </xf>
    <xf numFmtId="0" fontId="20" fillId="7" borderId="1" xfId="0" applyFont="1" applyFill="1" applyBorder="1" applyAlignment="1">
      <alignment horizontal="right"/>
    </xf>
    <xf numFmtId="0" fontId="1" fillId="4" borderId="1" xfId="0" applyFont="1" applyFill="1" applyBorder="1" applyAlignment="1">
      <alignment horizontal="center" vertical="top"/>
    </xf>
    <xf numFmtId="0" fontId="1" fillId="0" borderId="1" xfId="0" applyFont="1" applyBorder="1" applyAlignment="1">
      <alignment horizontal="left" vertical="center"/>
    </xf>
    <xf numFmtId="0" fontId="0" fillId="12" borderId="0" xfId="0" applyFill="1"/>
    <xf numFmtId="0" fontId="1" fillId="0" borderId="37" xfId="0" applyFont="1" applyBorder="1"/>
    <xf numFmtId="49" fontId="18" fillId="7" borderId="1" xfId="0" applyNumberFormat="1" applyFont="1" applyFill="1" applyBorder="1"/>
    <xf numFmtId="0" fontId="0" fillId="8" borderId="5" xfId="0" applyFill="1" applyBorder="1" applyAlignment="1">
      <alignment horizontal="center" vertical="center"/>
    </xf>
    <xf numFmtId="0" fontId="0" fillId="8" borderId="1" xfId="0" applyFill="1" applyBorder="1" applyAlignment="1">
      <alignment horizontal="center" vertical="center"/>
    </xf>
    <xf numFmtId="0" fontId="0" fillId="24" borderId="1" xfId="0" applyFill="1" applyBorder="1" applyAlignment="1">
      <alignment horizontal="center" vertical="top"/>
    </xf>
    <xf numFmtId="0" fontId="0" fillId="24" borderId="4" xfId="0" applyFill="1" applyBorder="1" applyAlignment="1">
      <alignment horizontal="center" vertical="top"/>
    </xf>
    <xf numFmtId="0" fontId="20" fillId="0" borderId="0" xfId="0" applyFont="1" applyAlignment="1">
      <alignment horizontal="right" vertical="top"/>
    </xf>
    <xf numFmtId="0" fontId="0" fillId="0" borderId="4" xfId="0" applyBorder="1" applyAlignment="1">
      <alignment horizontal="left" vertical="top" wrapText="1"/>
    </xf>
    <xf numFmtId="0" fontId="1" fillId="7" borderId="4" xfId="0" applyFont="1" applyFill="1" applyBorder="1" applyAlignment="1">
      <alignment horizontal="right"/>
    </xf>
    <xf numFmtId="0" fontId="1" fillId="0" borderId="14" xfId="0" applyFont="1" applyBorder="1" applyAlignment="1">
      <alignment horizontal="left" vertical="top"/>
    </xf>
    <xf numFmtId="0" fontId="1" fillId="7" borderId="0" xfId="0" applyFont="1" applyFill="1" applyAlignment="1">
      <alignment horizontal="center" vertical="center"/>
    </xf>
    <xf numFmtId="0" fontId="0" fillId="8" borderId="0" xfId="0" applyFill="1"/>
    <xf numFmtId="0" fontId="1" fillId="8" borderId="36" xfId="0" applyFont="1" applyFill="1" applyBorder="1" applyAlignment="1">
      <alignment horizontal="right"/>
    </xf>
    <xf numFmtId="0" fontId="1" fillId="7" borderId="36" xfId="0" applyFont="1" applyFill="1" applyBorder="1" applyAlignment="1">
      <alignment horizontal="right"/>
    </xf>
    <xf numFmtId="0" fontId="1" fillId="4" borderId="32" xfId="0" applyFont="1" applyFill="1" applyBorder="1" applyAlignment="1">
      <alignment horizontal="left" vertical="top"/>
    </xf>
    <xf numFmtId="0" fontId="1" fillId="25" borderId="15" xfId="0" applyFont="1" applyFill="1" applyBorder="1" applyAlignment="1">
      <alignment horizontal="left" vertical="top"/>
    </xf>
    <xf numFmtId="0" fontId="1" fillId="0" borderId="5" xfId="0" applyFont="1" applyBorder="1"/>
    <xf numFmtId="0" fontId="1" fillId="0" borderId="6" xfId="0" applyFont="1" applyBorder="1"/>
    <xf numFmtId="0" fontId="1" fillId="0" borderId="54" xfId="0" applyFont="1" applyBorder="1" applyAlignment="1">
      <alignment horizontal="center" vertical="center"/>
    </xf>
    <xf numFmtId="0" fontId="1" fillId="17" borderId="36" xfId="0" applyFont="1" applyFill="1" applyBorder="1"/>
    <xf numFmtId="0" fontId="1" fillId="18" borderId="18" xfId="0" applyFont="1" applyFill="1" applyBorder="1"/>
    <xf numFmtId="0" fontId="1" fillId="18" borderId="36" xfId="0" applyFont="1" applyFill="1" applyBorder="1"/>
    <xf numFmtId="0" fontId="1" fillId="18" borderId="51" xfId="0" applyFont="1" applyFill="1" applyBorder="1"/>
    <xf numFmtId="0" fontId="1" fillId="27" borderId="51" xfId="0" applyFont="1" applyFill="1" applyBorder="1"/>
    <xf numFmtId="0" fontId="1" fillId="17" borderId="51" xfId="0" applyFont="1" applyFill="1" applyBorder="1"/>
    <xf numFmtId="0" fontId="1" fillId="27" borderId="49" xfId="0" applyFont="1" applyFill="1" applyBorder="1"/>
    <xf numFmtId="0" fontId="1" fillId="27" borderId="36" xfId="0" applyFont="1" applyFill="1" applyBorder="1"/>
    <xf numFmtId="0" fontId="1" fillId="17" borderId="49" xfId="0" applyFont="1" applyFill="1" applyBorder="1"/>
    <xf numFmtId="0" fontId="1" fillId="25" borderId="17" xfId="0" applyFont="1" applyFill="1" applyBorder="1"/>
    <xf numFmtId="0" fontId="1" fillId="25" borderId="35" xfId="0" applyFont="1" applyFill="1" applyBorder="1"/>
    <xf numFmtId="0" fontId="1" fillId="25" borderId="49" xfId="0" applyFont="1" applyFill="1" applyBorder="1"/>
    <xf numFmtId="0" fontId="1" fillId="25" borderId="57" xfId="0" applyFont="1" applyFill="1" applyBorder="1"/>
    <xf numFmtId="0" fontId="1" fillId="25" borderId="13" xfId="0" applyFont="1" applyFill="1" applyBorder="1"/>
    <xf numFmtId="0" fontId="1" fillId="28" borderId="35" xfId="0" applyFont="1" applyFill="1" applyBorder="1"/>
    <xf numFmtId="0" fontId="1" fillId="28" borderId="12" xfId="0" applyFont="1" applyFill="1" applyBorder="1"/>
    <xf numFmtId="0" fontId="1" fillId="28" borderId="57" xfId="0" applyFont="1" applyFill="1" applyBorder="1"/>
    <xf numFmtId="0" fontId="0" fillId="0" borderId="41" xfId="0" applyBorder="1" applyAlignment="1">
      <alignment wrapText="1"/>
    </xf>
    <xf numFmtId="0" fontId="21" fillId="7" borderId="1" xfId="0" applyFont="1" applyFill="1" applyBorder="1"/>
    <xf numFmtId="0" fontId="21" fillId="0" borderId="0" xfId="0" applyFont="1"/>
    <xf numFmtId="0" fontId="0" fillId="0" borderId="0" xfId="0" applyAlignment="1">
      <alignment horizontal="right" vertical="top"/>
    </xf>
    <xf numFmtId="0" fontId="1" fillId="0" borderId="0" xfId="0" applyFont="1" applyAlignment="1">
      <alignment horizontal="right" vertical="top"/>
    </xf>
    <xf numFmtId="0" fontId="0" fillId="7" borderId="1" xfId="0" applyFill="1" applyBorder="1" applyAlignment="1">
      <alignment horizontal="center" vertical="center"/>
    </xf>
    <xf numFmtId="0" fontId="0" fillId="0" borderId="1" xfId="0" applyBorder="1" applyAlignment="1">
      <alignment horizontal="right" vertical="top"/>
    </xf>
    <xf numFmtId="0" fontId="1" fillId="0" borderId="1" xfId="0" applyFont="1" applyBorder="1" applyAlignment="1">
      <alignment horizontal="right" vertical="top"/>
    </xf>
    <xf numFmtId="0" fontId="51" fillId="7" borderId="4" xfId="0" applyFont="1" applyFill="1" applyBorder="1"/>
    <xf numFmtId="0" fontId="51" fillId="7" borderId="5" xfId="0" applyFont="1" applyFill="1" applyBorder="1"/>
    <xf numFmtId="0" fontId="51" fillId="7" borderId="6" xfId="0" applyFont="1" applyFill="1" applyBorder="1"/>
    <xf numFmtId="0" fontId="20" fillId="0" borderId="1" xfId="0" applyFont="1" applyBorder="1" applyAlignment="1">
      <alignment horizontal="center" vertical="center"/>
    </xf>
    <xf numFmtId="0" fontId="1" fillId="7" borderId="0" xfId="0" applyFont="1" applyFill="1"/>
    <xf numFmtId="0" fontId="1" fillId="12" borderId="0" xfId="0" applyFont="1" applyFill="1"/>
    <xf numFmtId="0" fontId="0" fillId="13" borderId="40" xfId="0" applyFill="1" applyBorder="1" applyAlignment="1">
      <alignment horizontal="center" vertical="center"/>
    </xf>
    <xf numFmtId="0" fontId="1" fillId="17" borderId="0" xfId="0" applyFont="1" applyFill="1"/>
    <xf numFmtId="0" fontId="1" fillId="12" borderId="20" xfId="0" applyFont="1" applyFill="1" applyBorder="1" applyAlignment="1">
      <alignment horizontal="center" vertical="center"/>
    </xf>
    <xf numFmtId="0" fontId="1" fillId="0" borderId="0" xfId="0" applyFont="1" applyAlignment="1">
      <alignment horizontal="center"/>
    </xf>
    <xf numFmtId="0" fontId="1" fillId="10" borderId="103" xfId="0" applyFont="1" applyFill="1" applyBorder="1" applyAlignment="1">
      <alignment horizontal="center" vertical="center"/>
    </xf>
    <xf numFmtId="0" fontId="1" fillId="10" borderId="102" xfId="0" applyFont="1" applyFill="1" applyBorder="1" applyAlignment="1">
      <alignment horizontal="center" vertical="center"/>
    </xf>
    <xf numFmtId="0" fontId="1" fillId="10" borderId="37" xfId="0" applyFont="1" applyFill="1" applyBorder="1" applyAlignment="1">
      <alignment horizontal="left" vertical="top"/>
    </xf>
    <xf numFmtId="0" fontId="1" fillId="10" borderId="38" xfId="0" quotePrefix="1" applyFont="1" applyFill="1" applyBorder="1" applyAlignment="1">
      <alignment horizontal="center" vertical="center"/>
    </xf>
    <xf numFmtId="0" fontId="0" fillId="3" borderId="41" xfId="0" applyFill="1" applyBorder="1" applyAlignment="1">
      <alignment horizontal="center" vertical="center"/>
    </xf>
    <xf numFmtId="0" fontId="1" fillId="3" borderId="102" xfId="0" applyFont="1" applyFill="1" applyBorder="1" applyAlignment="1">
      <alignment horizontal="center" vertical="center"/>
    </xf>
    <xf numFmtId="0" fontId="0" fillId="0" borderId="104" xfId="0" applyBorder="1"/>
    <xf numFmtId="0" fontId="0" fillId="0" borderId="105" xfId="0" applyBorder="1"/>
    <xf numFmtId="0" fontId="20" fillId="7" borderId="105" xfId="0" applyFont="1" applyFill="1" applyBorder="1"/>
    <xf numFmtId="0" fontId="0" fillId="0" borderId="106" xfId="0" applyBorder="1"/>
    <xf numFmtId="0" fontId="0" fillId="0" borderId="107" xfId="0" applyBorder="1"/>
    <xf numFmtId="0" fontId="0" fillId="0" borderId="108" xfId="0" applyBorder="1"/>
    <xf numFmtId="0" fontId="20" fillId="7" borderId="108" xfId="0" applyFont="1" applyFill="1" applyBorder="1"/>
    <xf numFmtId="0" fontId="0" fillId="0" borderId="109" xfId="0" applyBorder="1"/>
    <xf numFmtId="0" fontId="0" fillId="7" borderId="105" xfId="0" applyFill="1" applyBorder="1"/>
    <xf numFmtId="0" fontId="1" fillId="7" borderId="110" xfId="0" applyFont="1" applyFill="1" applyBorder="1" applyAlignment="1">
      <alignment horizontal="center" vertical="center"/>
    </xf>
    <xf numFmtId="0" fontId="1" fillId="7" borderId="111" xfId="0" applyFont="1" applyFill="1" applyBorder="1" applyAlignment="1">
      <alignment horizontal="center" vertical="center"/>
    </xf>
    <xf numFmtId="0" fontId="1" fillId="7" borderId="112" xfId="0" applyFont="1" applyFill="1" applyBorder="1" applyAlignment="1">
      <alignment horizontal="center" vertical="center"/>
    </xf>
    <xf numFmtId="0" fontId="0" fillId="10" borderId="51" xfId="0" applyFill="1" applyBorder="1" applyAlignment="1">
      <alignment horizontal="center" vertical="center"/>
    </xf>
    <xf numFmtId="0" fontId="0" fillId="10" borderId="35" xfId="0" applyFill="1" applyBorder="1" applyAlignment="1">
      <alignment horizontal="center" vertical="center"/>
    </xf>
    <xf numFmtId="0" fontId="0" fillId="10" borderId="49" xfId="0" applyFill="1" applyBorder="1" applyAlignment="1">
      <alignment horizontal="center" vertical="center"/>
    </xf>
    <xf numFmtId="0" fontId="0" fillId="10" borderId="36" xfId="0" applyFill="1" applyBorder="1" applyAlignment="1">
      <alignment horizontal="center" vertical="center"/>
    </xf>
    <xf numFmtId="0" fontId="0" fillId="10" borderId="57" xfId="0" applyFill="1" applyBorder="1" applyAlignment="1">
      <alignment horizontal="center" vertical="center"/>
    </xf>
    <xf numFmtId="0" fontId="0" fillId="3" borderId="17" xfId="0" applyFill="1" applyBorder="1" applyAlignment="1">
      <alignment horizontal="center" vertical="center"/>
    </xf>
    <xf numFmtId="0" fontId="0" fillId="12" borderId="51" xfId="0" applyFill="1" applyBorder="1" applyAlignment="1">
      <alignment horizontal="center" vertical="center"/>
    </xf>
    <xf numFmtId="0" fontId="0" fillId="12" borderId="49" xfId="0" applyFill="1" applyBorder="1" applyAlignment="1">
      <alignment horizontal="center" vertical="center"/>
    </xf>
    <xf numFmtId="0" fontId="0" fillId="12" borderId="36" xfId="0" applyFill="1" applyBorder="1" applyAlignment="1">
      <alignment horizontal="center" vertical="center"/>
    </xf>
    <xf numFmtId="0" fontId="0" fillId="11" borderId="35" xfId="0" applyFill="1" applyBorder="1" applyAlignment="1">
      <alignment horizontal="center" vertical="center"/>
    </xf>
    <xf numFmtId="0" fontId="0" fillId="11" borderId="49" xfId="0" applyFill="1" applyBorder="1" applyAlignment="1">
      <alignment horizontal="center" vertical="center"/>
    </xf>
    <xf numFmtId="0" fontId="0" fillId="11" borderId="57" xfId="0" applyFill="1" applyBorder="1" applyAlignment="1">
      <alignment horizontal="center" vertical="center"/>
    </xf>
    <xf numFmtId="0" fontId="0" fillId="29" borderId="12" xfId="0" applyFill="1" applyBorder="1" applyAlignment="1">
      <alignment horizontal="center" vertical="center"/>
    </xf>
    <xf numFmtId="0" fontId="0" fillId="29" borderId="18" xfId="0" applyFill="1" applyBorder="1" applyAlignment="1">
      <alignment horizontal="center" vertical="center"/>
    </xf>
    <xf numFmtId="0" fontId="1" fillId="0" borderId="15" xfId="0" applyFont="1" applyBorder="1" applyAlignment="1">
      <alignment horizontal="center" vertical="center"/>
    </xf>
    <xf numFmtId="0" fontId="1" fillId="0" borderId="76" xfId="0" applyFont="1" applyBorder="1" applyAlignment="1">
      <alignment horizontal="center" vertical="center"/>
    </xf>
    <xf numFmtId="0" fontId="1" fillId="0" borderId="77" xfId="0" applyFont="1" applyBorder="1" applyAlignment="1">
      <alignment horizontal="center" vertical="center"/>
    </xf>
    <xf numFmtId="0" fontId="1" fillId="30" borderId="4" xfId="0" applyFont="1" applyFill="1" applyBorder="1"/>
    <xf numFmtId="0" fontId="1" fillId="30" borderId="5" xfId="0" applyFont="1" applyFill="1" applyBorder="1"/>
    <xf numFmtId="0" fontId="1" fillId="30" borderId="6" xfId="0" applyFont="1" applyFill="1" applyBorder="1"/>
    <xf numFmtId="0" fontId="0" fillId="7" borderId="108" xfId="0" applyFill="1" applyBorder="1" applyAlignment="1">
      <alignment horizontal="center" vertical="center"/>
    </xf>
    <xf numFmtId="0" fontId="0" fillId="7" borderId="113" xfId="0" applyFill="1" applyBorder="1" applyAlignment="1">
      <alignment horizontal="center" vertical="center"/>
    </xf>
    <xf numFmtId="0" fontId="0" fillId="7" borderId="109" xfId="0" applyFill="1" applyBorder="1" applyAlignment="1">
      <alignment horizontal="center" vertical="center"/>
    </xf>
    <xf numFmtId="0" fontId="0" fillId="17" borderId="51" xfId="0" applyFill="1" applyBorder="1" applyAlignment="1">
      <alignment horizontal="center" vertical="center"/>
    </xf>
    <xf numFmtId="0" fontId="0" fillId="17" borderId="49" xfId="0" applyFill="1" applyBorder="1" applyAlignment="1">
      <alignment horizontal="center" vertical="center"/>
    </xf>
    <xf numFmtId="0" fontId="0" fillId="17" borderId="36" xfId="0" applyFill="1" applyBorder="1" applyAlignment="1">
      <alignment horizontal="center" vertical="center"/>
    </xf>
    <xf numFmtId="0" fontId="0" fillId="17" borderId="13" xfId="0" applyFill="1" applyBorder="1" applyAlignment="1">
      <alignment horizontal="center" vertical="center"/>
    </xf>
    <xf numFmtId="0" fontId="0" fillId="7" borderId="115" xfId="0" applyFill="1" applyBorder="1" applyAlignment="1">
      <alignment horizontal="center" vertical="center"/>
    </xf>
    <xf numFmtId="0" fontId="0" fillId="7" borderId="93" xfId="0" applyFill="1" applyBorder="1" applyAlignment="1">
      <alignment horizontal="center" vertical="center"/>
    </xf>
    <xf numFmtId="0" fontId="55" fillId="18" borderId="114" xfId="0" applyFont="1" applyFill="1" applyBorder="1" applyAlignment="1">
      <alignment horizontal="center" vertical="center"/>
    </xf>
    <xf numFmtId="0" fontId="1" fillId="25" borderId="17" xfId="0" applyFont="1" applyFill="1" applyBorder="1" applyAlignment="1">
      <alignment horizontal="center" vertical="center"/>
    </xf>
    <xf numFmtId="0" fontId="1" fillId="17" borderId="51" xfId="0" applyFont="1" applyFill="1" applyBorder="1" applyAlignment="1">
      <alignment horizontal="center" vertical="center"/>
    </xf>
    <xf numFmtId="0" fontId="1" fillId="27" borderId="51" xfId="0" applyFont="1" applyFill="1" applyBorder="1" applyAlignment="1">
      <alignment horizontal="center" vertical="center"/>
    </xf>
    <xf numFmtId="0" fontId="1" fillId="18" borderId="51" xfId="0" applyFont="1" applyFill="1" applyBorder="1" applyAlignment="1">
      <alignment horizontal="center" vertical="center"/>
    </xf>
    <xf numFmtId="0" fontId="1" fillId="18" borderId="18" xfId="0" applyFont="1" applyFill="1" applyBorder="1" applyAlignment="1">
      <alignment horizontal="center" vertical="center"/>
    </xf>
    <xf numFmtId="0" fontId="1" fillId="25" borderId="35" xfId="0" applyFont="1" applyFill="1" applyBorder="1" applyAlignment="1">
      <alignment horizontal="center" vertical="center"/>
    </xf>
    <xf numFmtId="0" fontId="1" fillId="17" borderId="49" xfId="0" applyFont="1" applyFill="1" applyBorder="1" applyAlignment="1">
      <alignment horizontal="center" vertical="center"/>
    </xf>
    <xf numFmtId="0" fontId="1" fillId="27" borderId="49" xfId="0" applyFont="1" applyFill="1" applyBorder="1" applyAlignment="1">
      <alignment horizontal="center" vertical="center"/>
    </xf>
    <xf numFmtId="0" fontId="1" fillId="18" borderId="36" xfId="0" applyFont="1" applyFill="1" applyBorder="1" applyAlignment="1">
      <alignment horizontal="center" vertical="center"/>
    </xf>
    <xf numFmtId="0" fontId="1" fillId="25" borderId="49" xfId="0" applyFont="1" applyFill="1" applyBorder="1" applyAlignment="1">
      <alignment horizontal="center" vertical="center"/>
    </xf>
    <xf numFmtId="0" fontId="1" fillId="27" borderId="36" xfId="0" applyFont="1" applyFill="1" applyBorder="1" applyAlignment="1">
      <alignment horizontal="center" vertical="center"/>
    </xf>
    <xf numFmtId="0" fontId="1" fillId="28" borderId="35" xfId="0" applyFont="1" applyFill="1" applyBorder="1" applyAlignment="1">
      <alignment horizontal="center" vertical="center"/>
    </xf>
    <xf numFmtId="0" fontId="1" fillId="17" borderId="36" xfId="0" applyFont="1" applyFill="1" applyBorder="1" applyAlignment="1">
      <alignment horizontal="center" vertical="center"/>
    </xf>
    <xf numFmtId="0" fontId="1" fillId="28" borderId="12" xfId="0" applyFont="1" applyFill="1" applyBorder="1" applyAlignment="1">
      <alignment horizontal="center" vertical="center"/>
    </xf>
    <xf numFmtId="0" fontId="1" fillId="28" borderId="57" xfId="0" applyFont="1" applyFill="1" applyBorder="1" applyAlignment="1">
      <alignment horizontal="center" vertical="center"/>
    </xf>
    <xf numFmtId="0" fontId="1" fillId="25" borderId="57" xfId="0" applyFont="1" applyFill="1" applyBorder="1" applyAlignment="1">
      <alignment horizontal="center" vertical="center"/>
    </xf>
    <xf numFmtId="0" fontId="1" fillId="25" borderId="13" xfId="0" applyFont="1" applyFill="1" applyBorder="1" applyAlignment="1">
      <alignment horizontal="center" vertical="center"/>
    </xf>
    <xf numFmtId="0" fontId="1" fillId="28" borderId="54" xfId="0" applyFont="1" applyFill="1" applyBorder="1" applyAlignment="1">
      <alignment horizontal="center" vertical="center"/>
    </xf>
    <xf numFmtId="0" fontId="1" fillId="17" borderId="48" xfId="0" applyFont="1" applyFill="1" applyBorder="1" applyAlignment="1">
      <alignment horizontal="center" vertical="center"/>
    </xf>
    <xf numFmtId="0" fontId="1" fillId="27" borderId="48" xfId="0" applyFont="1" applyFill="1" applyBorder="1" applyAlignment="1">
      <alignment horizontal="center" vertical="center"/>
    </xf>
    <xf numFmtId="0" fontId="1" fillId="18" borderId="50" xfId="0" applyFont="1" applyFill="1" applyBorder="1" applyAlignment="1">
      <alignment horizontal="center" vertical="center"/>
    </xf>
    <xf numFmtId="49" fontId="18" fillId="4" borderId="5" xfId="0" applyNumberFormat="1" applyFont="1" applyFill="1" applyBorder="1"/>
    <xf numFmtId="49" fontId="18" fillId="4" borderId="1" xfId="0" applyNumberFormat="1" applyFont="1" applyFill="1" applyBorder="1"/>
    <xf numFmtId="0" fontId="0" fillId="4" borderId="1" xfId="0" applyFill="1" applyBorder="1" applyAlignment="1">
      <alignment horizontal="center" vertical="center"/>
    </xf>
    <xf numFmtId="0" fontId="0" fillId="8" borderId="25" xfId="0" applyFill="1" applyBorder="1"/>
    <xf numFmtId="0" fontId="0" fillId="8" borderId="10" xfId="0" applyFill="1" applyBorder="1"/>
    <xf numFmtId="0" fontId="0" fillId="8" borderId="34" xfId="0" applyFill="1" applyBorder="1"/>
    <xf numFmtId="0" fontId="0" fillId="8" borderId="42" xfId="0" applyFill="1" applyBorder="1"/>
    <xf numFmtId="0" fontId="0" fillId="8" borderId="3" xfId="0" applyFill="1" applyBorder="1"/>
    <xf numFmtId="0" fontId="0" fillId="8" borderId="14" xfId="0" applyFill="1" applyBorder="1"/>
    <xf numFmtId="0" fontId="0" fillId="8" borderId="23" xfId="0" applyFill="1" applyBorder="1"/>
    <xf numFmtId="0" fontId="0" fillId="8" borderId="36" xfId="0" applyFill="1" applyBorder="1"/>
    <xf numFmtId="0" fontId="0" fillId="8" borderId="5" xfId="0" applyFill="1" applyBorder="1"/>
    <xf numFmtId="49" fontId="18" fillId="4" borderId="4" xfId="0" applyNumberFormat="1" applyFont="1" applyFill="1" applyBorder="1"/>
    <xf numFmtId="0" fontId="0" fillId="4" borderId="4" xfId="0" applyFill="1" applyBorder="1" applyAlignment="1">
      <alignment horizontal="center" vertical="center"/>
    </xf>
    <xf numFmtId="0" fontId="0" fillId="4" borderId="9" xfId="0" applyFill="1" applyBorder="1"/>
    <xf numFmtId="0" fontId="0" fillId="4" borderId="11" xfId="0" applyFill="1" applyBorder="1"/>
    <xf numFmtId="0" fontId="0" fillId="4" borderId="44" xfId="0" applyFill="1" applyBorder="1"/>
    <xf numFmtId="0" fontId="0" fillId="4" borderId="18" xfId="0" applyFill="1" applyBorder="1"/>
    <xf numFmtId="0" fontId="0" fillId="4" borderId="30" xfId="0" applyFill="1" applyBorder="1"/>
    <xf numFmtId="0" fontId="0" fillId="4" borderId="10" xfId="0" applyFill="1" applyBorder="1"/>
    <xf numFmtId="0" fontId="0" fillId="4" borderId="28" xfId="0" applyFill="1" applyBorder="1"/>
    <xf numFmtId="0" fontId="0" fillId="4" borderId="13" xfId="0" applyFill="1" applyBorder="1"/>
    <xf numFmtId="0" fontId="0" fillId="4" borderId="66" xfId="0" applyFill="1" applyBorder="1"/>
    <xf numFmtId="0" fontId="0" fillId="4" borderId="67" xfId="0" applyFill="1" applyBorder="1"/>
    <xf numFmtId="0" fontId="0" fillId="8" borderId="108" xfId="0" applyFill="1" applyBorder="1"/>
    <xf numFmtId="49" fontId="56" fillId="18" borderId="1" xfId="0" applyNumberFormat="1" applyFont="1" applyFill="1" applyBorder="1"/>
    <xf numFmtId="49" fontId="18" fillId="27" borderId="5" xfId="0" applyNumberFormat="1" applyFont="1" applyFill="1" applyBorder="1"/>
    <xf numFmtId="49" fontId="18" fillId="25" borderId="5" xfId="0" applyNumberFormat="1" applyFont="1" applyFill="1" applyBorder="1"/>
    <xf numFmtId="49" fontId="18" fillId="28" borderId="5" xfId="0" applyNumberFormat="1" applyFont="1" applyFill="1" applyBorder="1"/>
    <xf numFmtId="49" fontId="18" fillId="17" borderId="5" xfId="0" applyNumberFormat="1" applyFont="1" applyFill="1" applyBorder="1"/>
    <xf numFmtId="0" fontId="0" fillId="4" borderId="22" xfId="0" applyFill="1" applyBorder="1" applyAlignment="1">
      <alignment horizontal="center" vertical="center"/>
    </xf>
    <xf numFmtId="0" fontId="1" fillId="8" borderId="0" xfId="0" applyFont="1" applyFill="1" applyAlignment="1">
      <alignment horizontal="center" vertical="center"/>
    </xf>
    <xf numFmtId="0" fontId="1" fillId="8" borderId="14" xfId="0" applyFont="1" applyFill="1" applyBorder="1" applyAlignment="1">
      <alignment horizontal="center" vertical="center"/>
    </xf>
    <xf numFmtId="0" fontId="53" fillId="0" borderId="0" xfId="0" applyFont="1"/>
    <xf numFmtId="0" fontId="0" fillId="0" borderId="89" xfId="0" applyBorder="1" applyAlignment="1">
      <alignment horizontal="center"/>
    </xf>
    <xf numFmtId="0" fontId="0" fillId="0" borderId="92" xfId="0" applyBorder="1" applyAlignment="1">
      <alignment horizontal="center" vertical="center"/>
    </xf>
    <xf numFmtId="0" fontId="1" fillId="28" borderId="17" xfId="0" applyFont="1" applyFill="1" applyBorder="1" applyAlignment="1">
      <alignment horizontal="center" vertical="center"/>
    </xf>
    <xf numFmtId="0" fontId="1" fillId="25" borderId="51" xfId="0" applyFont="1" applyFill="1" applyBorder="1" applyAlignment="1">
      <alignment horizontal="center" vertical="center"/>
    </xf>
    <xf numFmtId="0" fontId="0" fillId="4" borderId="2" xfId="0" applyFill="1" applyBorder="1"/>
    <xf numFmtId="0" fontId="0" fillId="4" borderId="34" xfId="0" applyFill="1" applyBorder="1"/>
    <xf numFmtId="0" fontId="0" fillId="4" borderId="16" xfId="0" applyFill="1" applyBorder="1"/>
    <xf numFmtId="0" fontId="0" fillId="4" borderId="40" xfId="0" applyFill="1" applyBorder="1"/>
    <xf numFmtId="0" fontId="0" fillId="4" borderId="14" xfId="0" applyFill="1" applyBorder="1"/>
    <xf numFmtId="0" fontId="0" fillId="4" borderId="41" xfId="0" applyFill="1" applyBorder="1"/>
    <xf numFmtId="0" fontId="0" fillId="4" borderId="19" xfId="0" applyFill="1" applyBorder="1"/>
    <xf numFmtId="0" fontId="0" fillId="4" borderId="42" xfId="0" applyFill="1" applyBorder="1"/>
    <xf numFmtId="0" fontId="0" fillId="4" borderId="20" xfId="0" applyFill="1" applyBorder="1"/>
    <xf numFmtId="0" fontId="0" fillId="4" borderId="22" xfId="0" applyFill="1" applyBorder="1"/>
    <xf numFmtId="0" fontId="0" fillId="8" borderId="105" xfId="0" applyFill="1" applyBorder="1"/>
    <xf numFmtId="0" fontId="57" fillId="17" borderId="0" xfId="0" applyFont="1" applyFill="1"/>
    <xf numFmtId="0" fontId="51" fillId="0" borderId="0" xfId="0" applyFont="1"/>
    <xf numFmtId="0" fontId="1" fillId="0" borderId="89" xfId="0" applyFont="1" applyBorder="1" applyAlignment="1">
      <alignment horizontal="center" vertical="center"/>
    </xf>
    <xf numFmtId="0" fontId="1" fillId="0" borderId="92" xfId="0" applyFont="1" applyBorder="1" applyAlignment="1">
      <alignment horizontal="center" vertical="center"/>
    </xf>
    <xf numFmtId="0" fontId="44" fillId="0" borderId="0" xfId="0" applyFont="1" applyAlignment="1">
      <alignment horizontal="center" vertical="center"/>
    </xf>
    <xf numFmtId="0" fontId="1" fillId="7" borderId="41" xfId="0" applyFont="1" applyFill="1" applyBorder="1" applyAlignment="1">
      <alignment horizontal="left" vertical="top" wrapText="1"/>
    </xf>
    <xf numFmtId="0" fontId="16" fillId="0" borderId="0" xfId="0" applyFont="1"/>
    <xf numFmtId="0" fontId="0" fillId="7" borderId="40" xfId="0" applyFill="1" applyBorder="1" applyAlignment="1">
      <alignment horizontal="center" vertical="center"/>
    </xf>
    <xf numFmtId="0" fontId="1" fillId="28" borderId="6" xfId="0" applyFont="1" applyFill="1" applyBorder="1"/>
    <xf numFmtId="0" fontId="1" fillId="11" borderId="49" xfId="0" applyFont="1" applyFill="1" applyBorder="1" applyAlignment="1">
      <alignment horizontal="center" vertical="center"/>
    </xf>
    <xf numFmtId="0" fontId="1" fillId="11" borderId="48" xfId="0" applyFont="1" applyFill="1" applyBorder="1" applyAlignment="1">
      <alignment horizontal="center" vertical="center"/>
    </xf>
    <xf numFmtId="0" fontId="1" fillId="11" borderId="5" xfId="0" applyFont="1" applyFill="1" applyBorder="1"/>
    <xf numFmtId="0" fontId="1" fillId="17" borderId="5" xfId="0" applyFont="1" applyFill="1" applyBorder="1"/>
    <xf numFmtId="0" fontId="1" fillId="27" borderId="5" xfId="0" applyFont="1" applyFill="1" applyBorder="1"/>
    <xf numFmtId="0" fontId="1" fillId="18" borderId="4" xfId="0" applyFont="1" applyFill="1" applyBorder="1"/>
    <xf numFmtId="0" fontId="1" fillId="12" borderId="92" xfId="0" applyFont="1" applyFill="1" applyBorder="1" applyAlignment="1">
      <alignment horizontal="center" vertical="center"/>
    </xf>
    <xf numFmtId="0" fontId="21" fillId="0" borderId="0" xfId="0" applyFont="1" applyAlignment="1">
      <alignment horizontal="center" vertical="center"/>
    </xf>
    <xf numFmtId="0" fontId="21" fillId="0" borderId="0" xfId="0" applyFont="1" applyAlignment="1">
      <alignment horizontal="center"/>
    </xf>
    <xf numFmtId="0" fontId="0" fillId="12" borderId="1" xfId="0" applyFill="1" applyBorder="1" applyAlignment="1">
      <alignment horizontal="center" vertical="center"/>
    </xf>
    <xf numFmtId="0" fontId="0" fillId="7" borderId="1" xfId="0" applyFill="1" applyBorder="1"/>
    <xf numFmtId="0" fontId="1" fillId="12" borderId="93" xfId="0" applyFont="1" applyFill="1" applyBorder="1" applyAlignment="1">
      <alignment horizontal="center" vertical="center"/>
    </xf>
    <xf numFmtId="0" fontId="20" fillId="0" borderId="3" xfId="0" applyFont="1" applyBorder="1" applyAlignment="1">
      <alignment horizontal="center" vertical="center"/>
    </xf>
    <xf numFmtId="0" fontId="30" fillId="28" borderId="35" xfId="0" applyFont="1" applyFill="1" applyBorder="1"/>
    <xf numFmtId="0" fontId="21" fillId="12" borderId="0" xfId="0" applyFont="1" applyFill="1" applyAlignment="1">
      <alignment horizontal="center" vertical="center"/>
    </xf>
    <xf numFmtId="0" fontId="1" fillId="12" borderId="49" xfId="0" applyFont="1" applyFill="1" applyBorder="1"/>
    <xf numFmtId="0" fontId="21" fillId="12" borderId="63" xfId="0" applyFont="1" applyFill="1" applyBorder="1"/>
    <xf numFmtId="0" fontId="21" fillId="12" borderId="63" xfId="0" applyFont="1" applyFill="1" applyBorder="1" applyAlignment="1">
      <alignment horizontal="center" vertical="center"/>
    </xf>
    <xf numFmtId="0" fontId="1" fillId="28" borderId="6" xfId="0" applyFont="1" applyFill="1" applyBorder="1" applyAlignment="1">
      <alignment horizontal="center" vertical="center"/>
    </xf>
    <xf numFmtId="0" fontId="1" fillId="11" borderId="5" xfId="0" applyFont="1" applyFill="1" applyBorder="1" applyAlignment="1">
      <alignment horizontal="center" vertical="center"/>
    </xf>
    <xf numFmtId="0" fontId="1" fillId="17" borderId="5" xfId="0" applyFont="1" applyFill="1" applyBorder="1" applyAlignment="1">
      <alignment horizontal="center" vertical="center"/>
    </xf>
    <xf numFmtId="0" fontId="1" fillId="27" borderId="5" xfId="0" applyFont="1" applyFill="1" applyBorder="1" applyAlignment="1">
      <alignment horizontal="center" vertical="center"/>
    </xf>
    <xf numFmtId="0" fontId="1" fillId="18" borderId="4" xfId="0" applyFont="1" applyFill="1" applyBorder="1" applyAlignment="1">
      <alignment horizontal="center" vertical="center"/>
    </xf>
    <xf numFmtId="0" fontId="0" fillId="19" borderId="0" xfId="0" applyFill="1"/>
    <xf numFmtId="0" fontId="0" fillId="0" borderId="0" xfId="0" applyAlignment="1">
      <alignment horizontal="left" vertical="center"/>
    </xf>
    <xf numFmtId="0" fontId="0" fillId="0" borderId="41" xfId="0" applyBorder="1" applyAlignment="1">
      <alignment horizontal="center" vertical="center"/>
    </xf>
    <xf numFmtId="0" fontId="1" fillId="14" borderId="1" xfId="0" applyFont="1" applyFill="1" applyBorder="1" applyAlignment="1">
      <alignment horizontal="center" vertical="center"/>
    </xf>
    <xf numFmtId="0" fontId="0" fillId="10" borderId="0" xfId="0" applyFill="1" applyAlignment="1">
      <alignment horizontal="right"/>
    </xf>
    <xf numFmtId="0" fontId="30" fillId="7" borderId="0" xfId="0" applyFont="1" applyFill="1" applyAlignment="1">
      <alignment horizontal="right"/>
    </xf>
    <xf numFmtId="0" fontId="48" fillId="10" borderId="0" xfId="0" applyFont="1" applyFill="1" applyAlignment="1">
      <alignment horizontal="right"/>
    </xf>
    <xf numFmtId="0" fontId="48" fillId="17" borderId="0" xfId="0" applyFont="1" applyFill="1" applyAlignment="1">
      <alignment horizontal="right"/>
    </xf>
    <xf numFmtId="0" fontId="1" fillId="5" borderId="1" xfId="0" applyFont="1" applyFill="1" applyBorder="1" applyAlignment="1">
      <alignment horizontal="left" vertical="top"/>
    </xf>
    <xf numFmtId="0" fontId="1" fillId="4" borderId="32" xfId="0" applyFont="1" applyFill="1" applyBorder="1" applyAlignment="1">
      <alignment horizontal="center" vertical="center"/>
    </xf>
    <xf numFmtId="0" fontId="1" fillId="16" borderId="21" xfId="0" applyFont="1" applyFill="1" applyBorder="1"/>
    <xf numFmtId="0" fontId="1" fillId="4" borderId="1" xfId="0" applyFont="1" applyFill="1" applyBorder="1" applyAlignment="1">
      <alignment horizontal="center" vertical="center"/>
    </xf>
    <xf numFmtId="0" fontId="1" fillId="7" borderId="21" xfId="0" applyFont="1" applyFill="1" applyBorder="1"/>
    <xf numFmtId="0" fontId="20" fillId="7" borderId="33" xfId="0" applyFont="1" applyFill="1" applyBorder="1"/>
    <xf numFmtId="0" fontId="0" fillId="7" borderId="33" xfId="0" applyFill="1" applyBorder="1"/>
    <xf numFmtId="0" fontId="1" fillId="0" borderId="40" xfId="0" applyFont="1" applyBorder="1" applyAlignment="1">
      <alignment vertical="top"/>
    </xf>
    <xf numFmtId="0" fontId="1" fillId="0" borderId="22" xfId="0" applyFont="1" applyBorder="1" applyAlignment="1">
      <alignment vertical="top"/>
    </xf>
    <xf numFmtId="0" fontId="1" fillId="0" borderId="12" xfId="0" applyFont="1" applyBorder="1"/>
    <xf numFmtId="0" fontId="1" fillId="0" borderId="28" xfId="0" applyFont="1" applyBorder="1"/>
    <xf numFmtId="0" fontId="1" fillId="0" borderId="16" xfId="0" applyFont="1" applyBorder="1" applyAlignment="1">
      <alignment vertical="top"/>
    </xf>
    <xf numFmtId="0" fontId="1" fillId="0" borderId="20" xfId="0" applyFont="1" applyBorder="1" applyAlignment="1">
      <alignment vertical="top"/>
    </xf>
    <xf numFmtId="0" fontId="1" fillId="4" borderId="6" xfId="0" applyFont="1" applyFill="1" applyBorder="1"/>
    <xf numFmtId="0" fontId="0" fillId="0" borderId="20" xfId="0" applyBorder="1"/>
    <xf numFmtId="0" fontId="0" fillId="7" borderId="17" xfId="0" applyFill="1" applyBorder="1"/>
    <xf numFmtId="0" fontId="0" fillId="7" borderId="51" xfId="0" applyFill="1" applyBorder="1"/>
    <xf numFmtId="0" fontId="0" fillId="7" borderId="51" xfId="0" applyFill="1" applyBorder="1" applyAlignment="1">
      <alignment horizontal="center" vertical="top"/>
    </xf>
    <xf numFmtId="1" fontId="0" fillId="7" borderId="51" xfId="0" applyNumberFormat="1" applyFill="1" applyBorder="1" applyAlignment="1">
      <alignment horizontal="center"/>
    </xf>
    <xf numFmtId="1" fontId="0" fillId="7" borderId="18" xfId="0" applyNumberFormat="1" applyFill="1" applyBorder="1" applyAlignment="1">
      <alignment horizontal="center"/>
    </xf>
    <xf numFmtId="1" fontId="0" fillId="7" borderId="18" xfId="0" applyNumberFormat="1" applyFill="1" applyBorder="1" applyAlignment="1">
      <alignment horizontal="left" vertical="top"/>
    </xf>
    <xf numFmtId="0" fontId="17" fillId="0" borderId="1" xfId="0" applyFont="1" applyBorder="1" applyAlignment="1">
      <alignment horizontal="left" vertical="top"/>
    </xf>
    <xf numFmtId="0" fontId="20" fillId="8" borderId="40" xfId="0" applyFont="1" applyFill="1" applyBorder="1" applyAlignment="1">
      <alignment vertical="top"/>
    </xf>
    <xf numFmtId="0" fontId="20" fillId="0" borderId="2" xfId="0" applyFont="1" applyBorder="1" applyAlignment="1">
      <alignment vertical="top"/>
    </xf>
    <xf numFmtId="0" fontId="45" fillId="2" borderId="41" xfId="0" applyFont="1" applyFill="1" applyBorder="1" applyAlignment="1">
      <alignment horizontal="center"/>
    </xf>
    <xf numFmtId="0" fontId="44" fillId="2" borderId="1" xfId="0" applyFont="1" applyFill="1" applyBorder="1" applyAlignment="1">
      <alignment horizontal="center" vertical="center"/>
    </xf>
    <xf numFmtId="1" fontId="0" fillId="7" borderId="18" xfId="0" applyNumberFormat="1" applyFill="1" applyBorder="1" applyAlignment="1">
      <alignment horizontal="center" vertical="top"/>
    </xf>
    <xf numFmtId="0" fontId="0" fillId="0" borderId="0" xfId="0" applyAlignment="1">
      <alignment vertical="top" wrapText="1"/>
    </xf>
    <xf numFmtId="0" fontId="0" fillId="0" borderId="0" xfId="0" applyAlignment="1">
      <alignment vertical="top"/>
    </xf>
    <xf numFmtId="0" fontId="20" fillId="3" borderId="4" xfId="0" applyFont="1" applyFill="1" applyBorder="1" applyAlignment="1">
      <alignment horizontal="center" vertical="center"/>
    </xf>
    <xf numFmtId="0" fontId="1" fillId="12" borderId="9" xfId="0" applyFont="1" applyFill="1" applyBorder="1" applyAlignment="1">
      <alignment horizontal="center"/>
    </xf>
    <xf numFmtId="0" fontId="1" fillId="12" borderId="11" xfId="0" applyFont="1" applyFill="1" applyBorder="1" applyAlignment="1">
      <alignment horizontal="center"/>
    </xf>
    <xf numFmtId="0" fontId="0" fillId="20" borderId="0" xfId="0" applyFill="1"/>
    <xf numFmtId="0" fontId="1" fillId="0" borderId="32" xfId="0" applyFont="1" applyBorder="1" applyAlignment="1">
      <alignment horizontal="left" vertical="top"/>
    </xf>
    <xf numFmtId="0" fontId="1" fillId="16" borderId="15" xfId="0" applyFont="1" applyFill="1" applyBorder="1"/>
    <xf numFmtId="0" fontId="0" fillId="7" borderId="15" xfId="0" applyFill="1" applyBorder="1"/>
    <xf numFmtId="0" fontId="0" fillId="7" borderId="76" xfId="0" applyFill="1" applyBorder="1"/>
    <xf numFmtId="0" fontId="1" fillId="7" borderId="39" xfId="0" applyFont="1" applyFill="1" applyBorder="1"/>
    <xf numFmtId="0" fontId="1" fillId="7" borderId="33" xfId="0" applyFont="1" applyFill="1" applyBorder="1"/>
    <xf numFmtId="0" fontId="1" fillId="7" borderId="32" xfId="0" applyFont="1" applyFill="1" applyBorder="1" applyAlignment="1">
      <alignment horizontal="center"/>
    </xf>
    <xf numFmtId="0" fontId="1" fillId="8" borderId="1" xfId="0" applyFont="1" applyFill="1" applyBorder="1" applyAlignment="1">
      <alignment horizontal="center" vertical="center"/>
    </xf>
    <xf numFmtId="0" fontId="1" fillId="17" borderId="1" xfId="0" applyFont="1" applyFill="1" applyBorder="1" applyAlignment="1">
      <alignment horizontal="center" vertical="center"/>
    </xf>
    <xf numFmtId="0" fontId="0" fillId="0" borderId="6" xfId="0" applyBorder="1" applyAlignment="1">
      <alignment vertical="top" wrapText="1"/>
    </xf>
    <xf numFmtId="0" fontId="1" fillId="11" borderId="1" xfId="0" applyFont="1" applyFill="1" applyBorder="1"/>
    <xf numFmtId="0" fontId="0" fillId="0" borderId="1" xfId="0" applyBorder="1" applyAlignment="1">
      <alignment horizontal="left" vertical="top"/>
    </xf>
    <xf numFmtId="164" fontId="0" fillId="10" borderId="1" xfId="0" applyNumberFormat="1" applyFill="1" applyBorder="1" applyAlignment="1">
      <alignment horizontal="left" vertical="top"/>
    </xf>
    <xf numFmtId="0" fontId="0" fillId="12" borderId="1" xfId="0" applyFill="1" applyBorder="1" applyAlignment="1">
      <alignment horizontal="left" vertical="top"/>
    </xf>
    <xf numFmtId="0" fontId="1" fillId="4" borderId="21" xfId="0" applyFont="1" applyFill="1" applyBorder="1" applyAlignment="1">
      <alignment horizontal="left" vertical="top"/>
    </xf>
    <xf numFmtId="0" fontId="0" fillId="0" borderId="36" xfId="0" applyBorder="1" applyAlignment="1">
      <alignment horizontal="center" vertical="center"/>
    </xf>
    <xf numFmtId="0" fontId="0" fillId="5" borderId="18" xfId="0" applyFill="1" applyBorder="1" applyAlignment="1">
      <alignment horizontal="center" vertical="center"/>
    </xf>
    <xf numFmtId="0" fontId="1" fillId="10" borderId="1" xfId="0" applyFont="1" applyFill="1" applyBorder="1" applyAlignment="1">
      <alignment horizontal="left" vertical="top"/>
    </xf>
    <xf numFmtId="0" fontId="1" fillId="3" borderId="1" xfId="0" applyFont="1" applyFill="1" applyBorder="1" applyAlignment="1">
      <alignment horizontal="left" vertical="top"/>
    </xf>
    <xf numFmtId="0" fontId="20" fillId="0" borderId="0" xfId="0" applyFont="1" applyAlignment="1">
      <alignment horizontal="left" vertical="top"/>
    </xf>
    <xf numFmtId="0" fontId="45" fillId="12" borderId="1" xfId="0" applyFont="1" applyFill="1" applyBorder="1" applyAlignment="1">
      <alignment horizontal="left" vertical="top"/>
    </xf>
    <xf numFmtId="0" fontId="0" fillId="4" borderId="1" xfId="0" applyFill="1" applyBorder="1" applyAlignment="1">
      <alignment horizontal="left" vertical="top"/>
    </xf>
    <xf numFmtId="1" fontId="0" fillId="4" borderId="1" xfId="0" applyNumberFormat="1" applyFill="1" applyBorder="1" applyAlignment="1">
      <alignment horizontal="left" vertical="top"/>
    </xf>
    <xf numFmtId="2" fontId="0" fillId="6" borderId="1" xfId="0" applyNumberFormat="1" applyFill="1" applyBorder="1" applyAlignment="1">
      <alignment horizontal="left" vertical="top"/>
    </xf>
    <xf numFmtId="0" fontId="24" fillId="18" borderId="1" xfId="0" applyFont="1" applyFill="1" applyBorder="1" applyAlignment="1">
      <alignment horizontal="left" vertical="top"/>
    </xf>
    <xf numFmtId="0" fontId="1" fillId="12" borderId="20" xfId="0" applyFont="1" applyFill="1" applyBorder="1" applyAlignment="1">
      <alignment horizontal="left" vertical="top"/>
    </xf>
    <xf numFmtId="0" fontId="44" fillId="2" borderId="1" xfId="0" applyFont="1" applyFill="1" applyBorder="1" applyAlignment="1">
      <alignment horizontal="left" vertical="top"/>
    </xf>
    <xf numFmtId="1" fontId="1" fillId="30" borderId="1" xfId="0" applyNumberFormat="1" applyFont="1" applyFill="1" applyBorder="1" applyAlignment="1">
      <alignment horizontal="left" vertical="top"/>
    </xf>
    <xf numFmtId="0" fontId="1" fillId="30" borderId="1" xfId="0" applyFont="1" applyFill="1" applyBorder="1" applyAlignment="1">
      <alignment horizontal="left" vertical="top"/>
    </xf>
    <xf numFmtId="0" fontId="0" fillId="0" borderId="0" xfId="0" applyAlignment="1">
      <alignment vertical="center"/>
    </xf>
    <xf numFmtId="0" fontId="30" fillId="25" borderId="17" xfId="0" applyFont="1" applyFill="1" applyBorder="1" applyAlignment="1">
      <alignment horizontal="center" vertical="center"/>
    </xf>
    <xf numFmtId="0" fontId="30" fillId="25" borderId="17" xfId="0" applyFont="1" applyFill="1" applyBorder="1"/>
    <xf numFmtId="0" fontId="0" fillId="30" borderId="0" xfId="0" applyFill="1"/>
    <xf numFmtId="0" fontId="0" fillId="9" borderId="5" xfId="0" applyFill="1" applyBorder="1"/>
    <xf numFmtId="0" fontId="20" fillId="9" borderId="5" xfId="0" applyFont="1" applyFill="1" applyBorder="1" applyAlignment="1">
      <alignment horizontal="center" vertical="center"/>
    </xf>
    <xf numFmtId="0" fontId="0" fillId="24" borderId="1" xfId="0" applyFill="1" applyBorder="1" applyAlignment="1">
      <alignment horizontal="center"/>
    </xf>
    <xf numFmtId="0" fontId="0" fillId="3" borderId="7" xfId="0" applyFill="1" applyBorder="1" applyAlignment="1">
      <alignment horizontal="center" vertical="top"/>
    </xf>
    <xf numFmtId="0" fontId="0" fillId="0" borderId="21" xfId="0" applyBorder="1" applyAlignment="1">
      <alignment horizontal="center" vertical="center"/>
    </xf>
    <xf numFmtId="0" fontId="1" fillId="0" borderId="34" xfId="0" applyFont="1" applyBorder="1" applyAlignment="1">
      <alignment horizontal="center" vertical="center"/>
    </xf>
    <xf numFmtId="0" fontId="0" fillId="0" borderId="120" xfId="0" applyBorder="1"/>
    <xf numFmtId="0" fontId="20" fillId="0" borderId="120" xfId="0" applyFont="1" applyBorder="1" applyAlignment="1">
      <alignment horizontal="center" vertical="center"/>
    </xf>
    <xf numFmtId="0" fontId="0" fillId="0" borderId="120" xfId="0" applyBorder="1" applyAlignment="1">
      <alignment horizontal="center" vertical="center"/>
    </xf>
    <xf numFmtId="0" fontId="30" fillId="24" borderId="1" xfId="0" applyFont="1" applyFill="1" applyBorder="1" applyAlignment="1">
      <alignment horizontal="center"/>
    </xf>
    <xf numFmtId="0" fontId="1" fillId="15" borderId="64" xfId="0" applyFont="1" applyFill="1" applyBorder="1" applyAlignment="1">
      <alignment horizontal="center" vertical="center"/>
    </xf>
    <xf numFmtId="0" fontId="1" fillId="15" borderId="78" xfId="0" applyFont="1" applyFill="1" applyBorder="1" applyAlignment="1">
      <alignment horizontal="center" vertical="center"/>
    </xf>
    <xf numFmtId="0" fontId="0" fillId="2" borderId="1" xfId="0" applyFill="1" applyBorder="1" applyAlignment="1">
      <alignment horizontal="center" vertical="center"/>
    </xf>
    <xf numFmtId="0" fontId="1" fillId="3" borderId="4" xfId="0" applyFont="1" applyFill="1" applyBorder="1" applyAlignment="1">
      <alignment horizontal="center" vertical="center"/>
    </xf>
    <xf numFmtId="0" fontId="0" fillId="12" borderId="0" xfId="0" applyFill="1" applyAlignment="1">
      <alignment vertical="top"/>
    </xf>
    <xf numFmtId="164" fontId="0" fillId="30" borderId="0" xfId="0" applyNumberFormat="1" applyFill="1" applyAlignment="1">
      <alignment horizontal="center" vertical="center"/>
    </xf>
    <xf numFmtId="0" fontId="1" fillId="0" borderId="116" xfId="0" applyFont="1" applyBorder="1" applyAlignment="1">
      <alignment horizontal="center" vertical="center"/>
    </xf>
    <xf numFmtId="0" fontId="1" fillId="0" borderId="22" xfId="0" applyFont="1" applyBorder="1" applyAlignment="1">
      <alignment horizontal="center" vertical="center"/>
    </xf>
    <xf numFmtId="0" fontId="20" fillId="0" borderId="0" xfId="0" applyFont="1" applyAlignment="1">
      <alignment vertical="top" wrapText="1"/>
    </xf>
    <xf numFmtId="0" fontId="20" fillId="0" borderId="14" xfId="0" applyFont="1" applyBorder="1" applyAlignment="1">
      <alignment vertical="top" wrapText="1"/>
    </xf>
    <xf numFmtId="0" fontId="20" fillId="0" borderId="42" xfId="0" applyFont="1" applyBorder="1" applyAlignment="1">
      <alignment vertical="top" wrapText="1"/>
    </xf>
    <xf numFmtId="0" fontId="1" fillId="15" borderId="22" xfId="0" applyFont="1" applyFill="1" applyBorder="1" applyAlignment="1">
      <alignment horizontal="center" vertical="center"/>
    </xf>
    <xf numFmtId="0" fontId="0" fillId="24" borderId="21" xfId="0" applyFill="1" applyBorder="1" applyAlignment="1">
      <alignment horizontal="left" vertical="top"/>
    </xf>
    <xf numFmtId="0" fontId="0" fillId="0" borderId="3" xfId="0" quotePrefix="1" applyBorder="1" applyAlignment="1">
      <alignment horizontal="left"/>
    </xf>
    <xf numFmtId="0" fontId="0" fillId="0" borderId="41" xfId="0" applyBorder="1" applyAlignment="1">
      <alignment horizontal="right" vertical="center"/>
    </xf>
    <xf numFmtId="0" fontId="1" fillId="0" borderId="121" xfId="0" applyFont="1" applyBorder="1" applyAlignment="1">
      <alignment horizontal="center" vertical="center"/>
    </xf>
    <xf numFmtId="0" fontId="0" fillId="0" borderId="122" xfId="0" applyBorder="1"/>
    <xf numFmtId="164" fontId="0" fillId="0" borderId="40" xfId="0" applyNumberFormat="1" applyBorder="1" applyAlignment="1">
      <alignment horizontal="center" vertical="center"/>
    </xf>
    <xf numFmtId="164" fontId="0" fillId="0" borderId="6" xfId="0" applyNumberFormat="1" applyBorder="1" applyAlignment="1">
      <alignment horizontal="center"/>
    </xf>
    <xf numFmtId="0" fontId="61" fillId="17" borderId="35" xfId="0" applyFont="1" applyFill="1" applyBorder="1" applyAlignment="1">
      <alignment horizontal="center" vertical="center"/>
    </xf>
    <xf numFmtId="0" fontId="0" fillId="5" borderId="71" xfId="0" applyFill="1" applyBorder="1" applyAlignment="1">
      <alignment horizontal="center" vertical="center"/>
    </xf>
    <xf numFmtId="0" fontId="0" fillId="17" borderId="69" xfId="0" applyFill="1" applyBorder="1" applyAlignment="1">
      <alignment horizontal="center" vertical="center"/>
    </xf>
    <xf numFmtId="0" fontId="1" fillId="0" borderId="36" xfId="0" applyFont="1" applyBorder="1" applyAlignment="1">
      <alignment horizontal="center" vertical="center"/>
    </xf>
    <xf numFmtId="0" fontId="0" fillId="0" borderId="4" xfId="0" applyBorder="1" applyAlignment="1">
      <alignment horizontal="center"/>
    </xf>
    <xf numFmtId="49" fontId="0" fillId="11" borderId="1" xfId="0" applyNumberFormat="1" applyFill="1" applyBorder="1" applyAlignment="1">
      <alignment horizontal="center"/>
    </xf>
    <xf numFmtId="0" fontId="0" fillId="0" borderId="21" xfId="0" applyBorder="1"/>
    <xf numFmtId="0" fontId="0" fillId="0" borderId="33" xfId="0" applyBorder="1"/>
    <xf numFmtId="0" fontId="0" fillId="0" borderId="1" xfId="0" applyBorder="1" applyAlignment="1">
      <alignment horizontal="center"/>
    </xf>
    <xf numFmtId="0" fontId="0" fillId="24" borderId="40" xfId="0" applyFill="1" applyBorder="1" applyAlignment="1">
      <alignment horizontal="center" vertical="top"/>
    </xf>
    <xf numFmtId="0" fontId="1" fillId="15" borderId="1" xfId="0" applyFont="1" applyFill="1" applyBorder="1" applyAlignment="1">
      <alignment horizontal="center" vertical="center"/>
    </xf>
    <xf numFmtId="0" fontId="48" fillId="24" borderId="1" xfId="0" applyFont="1" applyFill="1" applyBorder="1" applyAlignment="1">
      <alignment horizontal="left" vertical="top"/>
    </xf>
    <xf numFmtId="0" fontId="0" fillId="7" borderId="8" xfId="0" applyFill="1" applyBorder="1" applyAlignment="1">
      <alignment horizontal="center" vertical="center"/>
    </xf>
    <xf numFmtId="0" fontId="51" fillId="7" borderId="8" xfId="0" applyFont="1" applyFill="1" applyBorder="1"/>
    <xf numFmtId="0" fontId="51" fillId="0" borderId="41" xfId="0" applyFont="1" applyBorder="1"/>
    <xf numFmtId="49" fontId="18" fillId="7" borderId="40" xfId="0" applyNumberFormat="1" applyFont="1" applyFill="1" applyBorder="1"/>
    <xf numFmtId="0" fontId="1" fillId="18" borderId="40" xfId="0" applyFont="1" applyFill="1" applyBorder="1"/>
    <xf numFmtId="0" fontId="0" fillId="7" borderId="66" xfId="0" applyFill="1" applyBorder="1"/>
    <xf numFmtId="0" fontId="0" fillId="7" borderId="45" xfId="0" applyFill="1" applyBorder="1"/>
    <xf numFmtId="0" fontId="0" fillId="7" borderId="67" xfId="0" applyFill="1" applyBorder="1"/>
    <xf numFmtId="0" fontId="0" fillId="11" borderId="0" xfId="0" applyFill="1" applyAlignment="1">
      <alignment horizontal="center" vertical="center"/>
    </xf>
    <xf numFmtId="0" fontId="30" fillId="6" borderId="22" xfId="0" applyFont="1" applyFill="1" applyBorder="1" applyAlignment="1">
      <alignment horizontal="center" vertical="center"/>
    </xf>
    <xf numFmtId="0" fontId="43" fillId="0" borderId="0" xfId="0" applyFont="1"/>
    <xf numFmtId="164" fontId="0" fillId="0" borderId="6" xfId="0" applyNumberFormat="1" applyBorder="1" applyAlignment="1">
      <alignment horizontal="center" vertical="center"/>
    </xf>
    <xf numFmtId="0" fontId="0" fillId="14" borderId="0" xfId="0" applyFill="1"/>
    <xf numFmtId="0" fontId="0" fillId="17" borderId="2" xfId="0" applyFill="1" applyBorder="1"/>
    <xf numFmtId="0" fontId="0" fillId="17" borderId="34" xfId="0" applyFill="1" applyBorder="1"/>
    <xf numFmtId="0" fontId="0" fillId="17" borderId="16" xfId="0" applyFill="1" applyBorder="1"/>
    <xf numFmtId="0" fontId="0" fillId="17" borderId="3" xfId="0" applyFill="1" applyBorder="1"/>
    <xf numFmtId="0" fontId="0" fillId="17" borderId="14" xfId="0" applyFill="1" applyBorder="1"/>
    <xf numFmtId="0" fontId="0" fillId="17" borderId="19" xfId="0" applyFill="1" applyBorder="1"/>
    <xf numFmtId="0" fontId="0" fillId="17" borderId="42" xfId="0" applyFill="1" applyBorder="1"/>
    <xf numFmtId="0" fontId="0" fillId="17" borderId="20" xfId="0" applyFill="1" applyBorder="1"/>
    <xf numFmtId="0" fontId="0" fillId="31" borderId="0" xfId="0" applyFill="1"/>
    <xf numFmtId="0" fontId="0" fillId="32" borderId="0" xfId="0" applyFill="1"/>
    <xf numFmtId="0" fontId="0" fillId="32" borderId="21" xfId="0" applyFill="1" applyBorder="1"/>
    <xf numFmtId="0" fontId="0" fillId="32" borderId="33" xfId="0" applyFill="1" applyBorder="1"/>
    <xf numFmtId="0" fontId="0" fillId="32" borderId="32" xfId="0" applyFill="1" applyBorder="1"/>
    <xf numFmtId="0" fontId="0" fillId="32" borderId="2" xfId="0" applyFill="1" applyBorder="1"/>
    <xf numFmtId="0" fontId="0" fillId="32" borderId="34" xfId="0" applyFill="1" applyBorder="1"/>
    <xf numFmtId="0" fontId="0" fillId="32" borderId="16" xfId="0" applyFill="1" applyBorder="1"/>
    <xf numFmtId="0" fontId="0" fillId="32" borderId="19" xfId="0" applyFill="1" applyBorder="1"/>
    <xf numFmtId="0" fontId="0" fillId="32" borderId="42" xfId="0" applyFill="1" applyBorder="1"/>
    <xf numFmtId="0" fontId="0" fillId="32" borderId="20" xfId="0" applyFill="1" applyBorder="1"/>
    <xf numFmtId="0" fontId="0" fillId="28" borderId="1" xfId="0" applyFill="1" applyBorder="1"/>
    <xf numFmtId="49" fontId="56" fillId="0" borderId="41" xfId="0" applyNumberFormat="1" applyFont="1" applyBorder="1"/>
    <xf numFmtId="0" fontId="1" fillId="0" borderId="61" xfId="0" applyFont="1" applyBorder="1" applyAlignment="1">
      <alignment horizontal="center" vertical="center"/>
    </xf>
    <xf numFmtId="0" fontId="1" fillId="0" borderId="49" xfId="0" applyFont="1" applyBorder="1" applyAlignment="1">
      <alignment horizontal="center" vertical="center"/>
    </xf>
    <xf numFmtId="0" fontId="1" fillId="0" borderId="63" xfId="0" applyFont="1" applyBorder="1" applyAlignment="1">
      <alignment horizontal="center" vertical="center"/>
    </xf>
    <xf numFmtId="0" fontId="30" fillId="0" borderId="56" xfId="0" applyFont="1" applyBorder="1" applyAlignment="1">
      <alignment horizontal="center" vertical="center"/>
    </xf>
    <xf numFmtId="49" fontId="18" fillId="0" borderId="7" xfId="0" applyNumberFormat="1" applyFont="1" applyBorder="1"/>
    <xf numFmtId="0" fontId="1" fillId="0" borderId="8" xfId="0" applyFont="1" applyBorder="1" applyAlignment="1">
      <alignment horizontal="center" vertical="center"/>
    </xf>
    <xf numFmtId="49" fontId="18" fillId="0" borderId="41" xfId="0" applyNumberFormat="1" applyFont="1" applyBorder="1"/>
    <xf numFmtId="0" fontId="1" fillId="0" borderId="7" xfId="0" applyFont="1" applyBorder="1" applyAlignment="1">
      <alignment horizontal="center" vertical="center"/>
    </xf>
    <xf numFmtId="0" fontId="1" fillId="0" borderId="35" xfId="0" applyFont="1" applyBorder="1" applyAlignment="1">
      <alignment horizontal="right" vertical="center"/>
    </xf>
    <xf numFmtId="0" fontId="45" fillId="0" borderId="60" xfId="0" applyFont="1" applyBorder="1" applyAlignment="1">
      <alignment horizontal="right" vertical="center"/>
    </xf>
    <xf numFmtId="0" fontId="1" fillId="0" borderId="62" xfId="0" applyFont="1" applyBorder="1" applyAlignment="1">
      <alignment horizontal="right" vertical="center"/>
    </xf>
    <xf numFmtId="0" fontId="30" fillId="0" borderId="46" xfId="0" applyFont="1" applyBorder="1" applyAlignment="1">
      <alignment horizontal="center" vertical="center"/>
    </xf>
    <xf numFmtId="0" fontId="30" fillId="0" borderId="123" xfId="0" applyFont="1" applyBorder="1" applyAlignment="1">
      <alignment horizontal="center" vertical="center"/>
    </xf>
    <xf numFmtId="0" fontId="30" fillId="0" borderId="49" xfId="0" applyFont="1" applyBorder="1" applyAlignment="1">
      <alignment horizontal="center" vertical="center"/>
    </xf>
    <xf numFmtId="0" fontId="1" fillId="0" borderId="61" xfId="0" applyFont="1" applyBorder="1" applyAlignment="1">
      <alignment horizontal="right" vertical="center"/>
    </xf>
    <xf numFmtId="0" fontId="1" fillId="0" borderId="49" xfId="0" applyFont="1" applyBorder="1" applyAlignment="1">
      <alignment horizontal="right" vertical="center"/>
    </xf>
    <xf numFmtId="0" fontId="1" fillId="0" borderId="63" xfId="0" applyFont="1" applyBorder="1" applyAlignment="1">
      <alignment horizontal="right" vertical="center"/>
    </xf>
    <xf numFmtId="0" fontId="30" fillId="0" borderId="61" xfId="0" applyFont="1" applyBorder="1" applyAlignment="1">
      <alignment horizontal="center" vertical="center"/>
    </xf>
    <xf numFmtId="0" fontId="30" fillId="0" borderId="63" xfId="0" applyFont="1" applyBorder="1" applyAlignment="1">
      <alignment horizontal="center" vertical="center"/>
    </xf>
    <xf numFmtId="0" fontId="30" fillId="0" borderId="55" xfId="0" applyFont="1" applyBorder="1" applyAlignment="1">
      <alignment horizontal="center" vertical="center"/>
    </xf>
    <xf numFmtId="0" fontId="30" fillId="0" borderId="69" xfId="0" applyFont="1" applyBorder="1" applyAlignment="1">
      <alignment horizontal="center" vertical="center"/>
    </xf>
    <xf numFmtId="0" fontId="30" fillId="0" borderId="74" xfId="0" applyFont="1" applyBorder="1" applyAlignment="1">
      <alignment horizontal="center" vertical="center"/>
    </xf>
    <xf numFmtId="0" fontId="1" fillId="22" borderId="1" xfId="0" applyFont="1" applyFill="1" applyBorder="1" applyAlignment="1">
      <alignment horizontal="right" indent="1"/>
    </xf>
    <xf numFmtId="0" fontId="0" fillId="22" borderId="1" xfId="0" applyFill="1" applyBorder="1"/>
    <xf numFmtId="0" fontId="1" fillId="22" borderId="125" xfId="0" applyFont="1" applyFill="1" applyBorder="1" applyAlignment="1">
      <alignment horizontal="right"/>
    </xf>
    <xf numFmtId="0" fontId="0" fillId="22" borderId="125" xfId="0" applyFill="1" applyBorder="1"/>
    <xf numFmtId="0" fontId="1" fillId="22" borderId="124" xfId="0" applyFont="1" applyFill="1" applyBorder="1" applyAlignment="1">
      <alignment horizontal="right"/>
    </xf>
    <xf numFmtId="0" fontId="0" fillId="22" borderId="124" xfId="0" applyFill="1" applyBorder="1"/>
    <xf numFmtId="0" fontId="1" fillId="10" borderId="126" xfId="0" applyFont="1" applyFill="1" applyBorder="1" applyAlignment="1">
      <alignment horizontal="right" indent="1"/>
    </xf>
    <xf numFmtId="0" fontId="0" fillId="10" borderId="127" xfId="0" applyFill="1" applyBorder="1"/>
    <xf numFmtId="0" fontId="1" fillId="10" borderId="128" xfId="0" applyFont="1" applyFill="1" applyBorder="1" applyAlignment="1">
      <alignment horizontal="right" indent="1"/>
    </xf>
    <xf numFmtId="0" fontId="0" fillId="10" borderId="129" xfId="0" applyFill="1" applyBorder="1"/>
    <xf numFmtId="0" fontId="1" fillId="10" borderId="130" xfId="0" applyFont="1" applyFill="1" applyBorder="1" applyAlignment="1">
      <alignment horizontal="right" indent="1"/>
    </xf>
    <xf numFmtId="0" fontId="0" fillId="10" borderId="131" xfId="0" applyFill="1" applyBorder="1"/>
    <xf numFmtId="0" fontId="1" fillId="12" borderId="126" xfId="0" applyFont="1" applyFill="1" applyBorder="1" applyAlignment="1">
      <alignment horizontal="right" indent="1"/>
    </xf>
    <xf numFmtId="0" fontId="0" fillId="12" borderId="127" xfId="0" applyFill="1" applyBorder="1"/>
    <xf numFmtId="0" fontId="1" fillId="12" borderId="130" xfId="0" applyFont="1" applyFill="1" applyBorder="1" applyAlignment="1">
      <alignment horizontal="right" indent="1"/>
    </xf>
    <xf numFmtId="0" fontId="0" fillId="12" borderId="131" xfId="0" applyFill="1" applyBorder="1"/>
    <xf numFmtId="0" fontId="30" fillId="12" borderId="128" xfId="0" applyFont="1" applyFill="1" applyBorder="1" applyAlignment="1">
      <alignment horizontal="right" indent="1"/>
    </xf>
    <xf numFmtId="0" fontId="16" fillId="12" borderId="129" xfId="0" applyFont="1" applyFill="1" applyBorder="1"/>
    <xf numFmtId="0" fontId="30" fillId="10" borderId="128" xfId="0" applyFont="1" applyFill="1" applyBorder="1" applyAlignment="1">
      <alignment horizontal="right" indent="1"/>
    </xf>
    <xf numFmtId="0" fontId="16" fillId="10" borderId="129" xfId="0" applyFont="1" applyFill="1" applyBorder="1"/>
    <xf numFmtId="0" fontId="0" fillId="12" borderId="132" xfId="0" applyFill="1" applyBorder="1"/>
    <xf numFmtId="0" fontId="1" fillId="27" borderId="133" xfId="0" applyFont="1" applyFill="1" applyBorder="1" applyAlignment="1">
      <alignment horizontal="center"/>
    </xf>
    <xf numFmtId="0" fontId="0" fillId="27" borderId="135" xfId="0" applyFill="1" applyBorder="1"/>
    <xf numFmtId="0" fontId="1" fillId="0" borderId="48" xfId="0" applyFont="1" applyBorder="1" applyAlignment="1">
      <alignment horizontal="right" vertical="center"/>
    </xf>
    <xf numFmtId="0" fontId="1" fillId="0" borderId="42" xfId="0" applyFont="1" applyBorder="1" applyAlignment="1">
      <alignment horizontal="center"/>
    </xf>
    <xf numFmtId="0" fontId="1" fillId="25" borderId="1" xfId="0" applyFont="1" applyFill="1" applyBorder="1" applyAlignment="1">
      <alignment horizontal="center" vertical="center"/>
    </xf>
    <xf numFmtId="0" fontId="1" fillId="7" borderId="1" xfId="0" applyFont="1" applyFill="1" applyBorder="1" applyAlignment="1">
      <alignment horizontal="center" vertical="center"/>
    </xf>
    <xf numFmtId="0" fontId="1" fillId="0" borderId="49" xfId="0" applyFont="1" applyBorder="1"/>
    <xf numFmtId="0" fontId="1" fillId="0" borderId="69" xfId="0" applyFont="1" applyBorder="1"/>
    <xf numFmtId="0" fontId="1" fillId="0" borderId="65" xfId="0" applyFont="1" applyBorder="1"/>
    <xf numFmtId="0" fontId="1" fillId="0" borderId="56" xfId="0" applyFont="1" applyBorder="1" applyAlignment="1">
      <alignment horizontal="center" vertical="center"/>
    </xf>
    <xf numFmtId="0" fontId="1" fillId="0" borderId="46" xfId="0" applyFont="1" applyBorder="1" applyAlignment="1">
      <alignment horizontal="center" vertical="center"/>
    </xf>
    <xf numFmtId="0" fontId="1" fillId="0" borderId="123" xfId="0" applyFont="1" applyBorder="1" applyAlignment="1">
      <alignment horizontal="center" vertical="center"/>
    </xf>
    <xf numFmtId="0" fontId="30" fillId="0" borderId="46" xfId="0" applyFont="1" applyBorder="1"/>
    <xf numFmtId="0" fontId="1" fillId="0" borderId="46" xfId="0" applyFont="1" applyBorder="1"/>
    <xf numFmtId="0" fontId="1" fillId="0" borderId="73" xfId="0" applyFont="1" applyBorder="1"/>
    <xf numFmtId="0" fontId="1" fillId="0" borderId="86" xfId="0" applyFont="1" applyBorder="1" applyAlignment="1">
      <alignment horizontal="center" vertical="center"/>
    </xf>
    <xf numFmtId="0" fontId="1" fillId="0" borderId="73" xfId="0" applyFont="1" applyBorder="1" applyAlignment="1">
      <alignment horizontal="center" vertical="center"/>
    </xf>
    <xf numFmtId="0" fontId="1" fillId="0" borderId="57" xfId="0" applyFont="1" applyBorder="1"/>
    <xf numFmtId="0" fontId="1" fillId="0" borderId="51" xfId="0" applyFont="1" applyBorder="1" applyAlignment="1">
      <alignment horizontal="center" vertical="center"/>
    </xf>
    <xf numFmtId="0" fontId="1" fillId="0" borderId="55" xfId="0" applyFont="1" applyBorder="1" applyAlignment="1">
      <alignment horizontal="center" vertical="center"/>
    </xf>
    <xf numFmtId="0" fontId="1" fillId="0" borderId="69" xfId="0" applyFont="1" applyBorder="1" applyAlignment="1">
      <alignment horizontal="center" vertical="center"/>
    </xf>
    <xf numFmtId="0" fontId="1" fillId="0" borderId="74" xfId="0" applyFont="1" applyBorder="1" applyAlignment="1">
      <alignment horizontal="center" vertical="center"/>
    </xf>
    <xf numFmtId="0" fontId="1" fillId="0" borderId="53" xfId="0" applyFont="1" applyBorder="1" applyAlignment="1">
      <alignment horizontal="center" vertical="center"/>
    </xf>
    <xf numFmtId="0" fontId="1" fillId="0" borderId="70" xfId="0" applyFont="1" applyBorder="1"/>
    <xf numFmtId="0" fontId="1" fillId="0" borderId="71" xfId="0" applyFont="1" applyBorder="1" applyAlignment="1">
      <alignment horizontal="center" vertical="center"/>
    </xf>
    <xf numFmtId="0" fontId="1" fillId="0" borderId="70" xfId="0" applyFont="1" applyBorder="1" applyAlignment="1">
      <alignment horizontal="center" vertical="center"/>
    </xf>
    <xf numFmtId="0" fontId="1" fillId="0" borderId="60" xfId="0" applyFont="1" applyBorder="1" applyAlignment="1">
      <alignment horizontal="right" vertical="center"/>
    </xf>
    <xf numFmtId="0" fontId="1" fillId="0" borderId="73" xfId="0" applyFont="1" applyBorder="1" applyAlignment="1">
      <alignment horizontal="right" vertical="center"/>
    </xf>
    <xf numFmtId="0" fontId="1" fillId="0" borderId="65" xfId="0" applyFont="1" applyBorder="1" applyAlignment="1">
      <alignment horizontal="right" vertical="center"/>
    </xf>
    <xf numFmtId="0" fontId="1" fillId="0" borderId="36" xfId="0" applyFont="1" applyBorder="1" applyAlignment="1">
      <alignment horizontal="right" vertical="center"/>
    </xf>
    <xf numFmtId="0" fontId="1" fillId="0" borderId="95" xfId="0" applyFont="1" applyBorder="1" applyAlignment="1">
      <alignment horizontal="right" vertical="center"/>
    </xf>
    <xf numFmtId="0" fontId="1" fillId="0" borderId="27" xfId="0" applyFont="1" applyBorder="1" applyAlignment="1">
      <alignment horizontal="center" vertical="center"/>
    </xf>
    <xf numFmtId="49" fontId="0" fillId="0" borderId="2" xfId="0" applyNumberFormat="1" applyBorder="1"/>
    <xf numFmtId="0" fontId="1" fillId="0" borderId="34" xfId="0" applyFont="1" applyBorder="1" applyAlignment="1">
      <alignment horizontal="center"/>
    </xf>
    <xf numFmtId="49" fontId="0" fillId="0" borderId="3" xfId="0" applyNumberFormat="1" applyBorder="1"/>
    <xf numFmtId="49" fontId="1" fillId="0" borderId="3" xfId="0" applyNumberFormat="1" applyFont="1" applyBorder="1" applyAlignment="1">
      <alignment horizontal="right"/>
    </xf>
    <xf numFmtId="0" fontId="1" fillId="0" borderId="14" xfId="0" applyFont="1" applyBorder="1" applyAlignment="1">
      <alignment horizontal="left"/>
    </xf>
    <xf numFmtId="49" fontId="0" fillId="0" borderId="19" xfId="0" applyNumberFormat="1" applyBorder="1"/>
    <xf numFmtId="0" fontId="64" fillId="0" borderId="0" xfId="0" applyFont="1"/>
    <xf numFmtId="0" fontId="1" fillId="11" borderId="8" xfId="0" applyFont="1" applyFill="1" applyBorder="1" applyAlignment="1">
      <alignment horizontal="center" vertical="center"/>
    </xf>
    <xf numFmtId="49" fontId="0" fillId="0" borderId="34" xfId="0" applyNumberFormat="1" applyBorder="1"/>
    <xf numFmtId="49" fontId="0" fillId="10" borderId="42" xfId="0" applyNumberFormat="1" applyFill="1" applyBorder="1"/>
    <xf numFmtId="0" fontId="0" fillId="10" borderId="42" xfId="0" applyFill="1" applyBorder="1"/>
    <xf numFmtId="0" fontId="0" fillId="10" borderId="20" xfId="0" applyFill="1" applyBorder="1"/>
    <xf numFmtId="0" fontId="0" fillId="15" borderId="0" xfId="0" applyFill="1"/>
    <xf numFmtId="0" fontId="1" fillId="27" borderId="0" xfId="0" applyFont="1" applyFill="1"/>
    <xf numFmtId="49" fontId="1" fillId="14" borderId="0" xfId="0" applyNumberFormat="1" applyFont="1" applyFill="1" applyAlignment="1">
      <alignment horizontal="center"/>
    </xf>
    <xf numFmtId="49" fontId="0" fillId="10" borderId="0" xfId="0" applyNumberFormat="1" applyFill="1"/>
    <xf numFmtId="0" fontId="0" fillId="10" borderId="0" xfId="0" applyFill="1"/>
    <xf numFmtId="49" fontId="0" fillId="0" borderId="42" xfId="0" applyNumberFormat="1" applyBorder="1"/>
    <xf numFmtId="0" fontId="1" fillId="17" borderId="134" xfId="0" applyFont="1" applyFill="1" applyBorder="1" applyAlignment="1">
      <alignment horizontal="center"/>
    </xf>
    <xf numFmtId="0" fontId="0" fillId="7" borderId="2" xfId="0" applyFill="1" applyBorder="1"/>
    <xf numFmtId="0" fontId="0" fillId="7" borderId="3" xfId="0" applyFill="1" applyBorder="1"/>
    <xf numFmtId="0" fontId="0" fillId="7" borderId="19" xfId="0" applyFill="1" applyBorder="1"/>
    <xf numFmtId="0" fontId="1" fillId="25" borderId="134" xfId="0" applyFont="1" applyFill="1" applyBorder="1" applyAlignment="1">
      <alignment horizontal="center"/>
    </xf>
    <xf numFmtId="0" fontId="0" fillId="7" borderId="14" xfId="0" applyFill="1" applyBorder="1"/>
    <xf numFmtId="0" fontId="1" fillId="7" borderId="14" xfId="0" applyFont="1" applyFill="1" applyBorder="1" applyAlignment="1">
      <alignment horizontal="center"/>
    </xf>
    <xf numFmtId="0" fontId="1" fillId="7" borderId="0" xfId="0" applyFont="1" applyFill="1" applyAlignment="1">
      <alignment horizontal="center"/>
    </xf>
    <xf numFmtId="0" fontId="60" fillId="0" borderId="61" xfId="0" applyFont="1" applyBorder="1" applyAlignment="1">
      <alignment horizontal="right" vertical="center"/>
    </xf>
    <xf numFmtId="0" fontId="60" fillId="0" borderId="63" xfId="0" applyFont="1" applyBorder="1" applyAlignment="1">
      <alignment horizontal="right" vertical="center"/>
    </xf>
    <xf numFmtId="0" fontId="1" fillId="7" borderId="14" xfId="0" applyFont="1" applyFill="1" applyBorder="1" applyAlignment="1">
      <alignment horizontal="left"/>
    </xf>
    <xf numFmtId="0" fontId="45" fillId="25" borderId="17" xfId="0" applyFont="1" applyFill="1" applyBorder="1" applyAlignment="1">
      <alignment horizontal="center" vertical="center"/>
    </xf>
    <xf numFmtId="49" fontId="1" fillId="7" borderId="3" xfId="0" applyNumberFormat="1" applyFont="1" applyFill="1" applyBorder="1" applyAlignment="1">
      <alignment horizontal="right"/>
    </xf>
    <xf numFmtId="0" fontId="1" fillId="11" borderId="41" xfId="0" applyFont="1" applyFill="1" applyBorder="1" applyAlignment="1">
      <alignment horizontal="center" vertical="center"/>
    </xf>
    <xf numFmtId="0" fontId="1" fillId="18" borderId="41" xfId="0" applyFont="1" applyFill="1" applyBorder="1" applyAlignment="1">
      <alignment horizontal="center" vertical="center"/>
    </xf>
    <xf numFmtId="0" fontId="1" fillId="17" borderId="41" xfId="0" applyFont="1" applyFill="1" applyBorder="1" applyAlignment="1">
      <alignment horizontal="center" vertical="center"/>
    </xf>
    <xf numFmtId="0" fontId="1" fillId="0" borderId="41" xfId="0" applyFont="1" applyBorder="1" applyAlignment="1">
      <alignment horizontal="center" vertical="center"/>
    </xf>
    <xf numFmtId="0" fontId="1" fillId="0" borderId="14" xfId="0" applyFont="1" applyBorder="1" applyAlignment="1">
      <alignment horizontal="center"/>
    </xf>
    <xf numFmtId="0" fontId="1" fillId="28" borderId="1" xfId="0" applyFont="1" applyFill="1" applyBorder="1" applyAlignment="1">
      <alignment horizontal="center" vertical="center"/>
    </xf>
    <xf numFmtId="0" fontId="1" fillId="18" borderId="1" xfId="0" applyFont="1" applyFill="1" applyBorder="1" applyAlignment="1">
      <alignment horizontal="center" vertical="center"/>
    </xf>
    <xf numFmtId="0" fontId="63" fillId="0" borderId="0" xfId="0" applyFont="1" applyAlignment="1">
      <alignment horizontal="center"/>
    </xf>
    <xf numFmtId="0" fontId="1" fillId="18" borderId="9" xfId="0" applyFont="1" applyFill="1" applyBorder="1"/>
    <xf numFmtId="0" fontId="1" fillId="0" borderId="29" xfId="0" applyFont="1" applyBorder="1"/>
    <xf numFmtId="0" fontId="1" fillId="27" borderId="25" xfId="0" applyFont="1" applyFill="1" applyBorder="1"/>
    <xf numFmtId="0" fontId="1" fillId="0" borderId="25" xfId="0" applyFont="1" applyBorder="1"/>
    <xf numFmtId="0" fontId="1" fillId="17" borderId="25" xfId="0" applyFont="1" applyFill="1" applyBorder="1"/>
    <xf numFmtId="0" fontId="1" fillId="11" borderId="25" xfId="0" applyFont="1" applyFill="1" applyBorder="1"/>
    <xf numFmtId="0" fontId="1" fillId="0" borderId="66" xfId="0" applyFont="1" applyBorder="1"/>
    <xf numFmtId="0" fontId="1" fillId="28" borderId="26" xfId="0" applyFont="1" applyFill="1" applyBorder="1"/>
    <xf numFmtId="0" fontId="1" fillId="28" borderId="8" xfId="0" applyFont="1" applyFill="1" applyBorder="1" applyAlignment="1">
      <alignment horizontal="center" vertical="center"/>
    </xf>
    <xf numFmtId="0" fontId="1" fillId="17" borderId="8" xfId="0" applyFont="1" applyFill="1" applyBorder="1" applyAlignment="1">
      <alignment horizontal="center" vertical="center"/>
    </xf>
    <xf numFmtId="0" fontId="1" fillId="27" borderId="8" xfId="0" applyFont="1" applyFill="1" applyBorder="1" applyAlignment="1">
      <alignment horizontal="center" vertical="center"/>
    </xf>
    <xf numFmtId="0" fontId="1" fillId="18" borderId="40" xfId="0" applyFont="1" applyFill="1" applyBorder="1" applyAlignment="1">
      <alignment horizontal="center" vertical="center"/>
    </xf>
    <xf numFmtId="0" fontId="27" fillId="5" borderId="136" xfId="0" applyFont="1" applyFill="1" applyBorder="1" applyAlignment="1">
      <alignment horizontal="right"/>
    </xf>
    <xf numFmtId="0" fontId="27" fillId="5" borderId="137" xfId="0" applyFont="1" applyFill="1" applyBorder="1" applyAlignment="1">
      <alignment horizontal="left"/>
    </xf>
    <xf numFmtId="0" fontId="52" fillId="5" borderId="138" xfId="0" applyFont="1" applyFill="1" applyBorder="1"/>
    <xf numFmtId="0" fontId="52" fillId="5" borderId="139" xfId="0" applyFont="1" applyFill="1" applyBorder="1"/>
    <xf numFmtId="0" fontId="27" fillId="5" borderId="139" xfId="0" applyFont="1" applyFill="1" applyBorder="1" applyAlignment="1">
      <alignment horizontal="right"/>
    </xf>
    <xf numFmtId="0" fontId="52" fillId="5" borderId="140" xfId="0" applyFont="1" applyFill="1" applyBorder="1"/>
    <xf numFmtId="0" fontId="27" fillId="5" borderId="137" xfId="0" applyFont="1" applyFill="1" applyBorder="1" applyAlignment="1">
      <alignment horizontal="left" vertical="center"/>
    </xf>
    <xf numFmtId="0" fontId="0" fillId="5" borderId="141" xfId="0" applyFill="1" applyBorder="1"/>
    <xf numFmtId="0" fontId="1" fillId="5" borderId="142" xfId="0" applyFont="1" applyFill="1" applyBorder="1"/>
    <xf numFmtId="0" fontId="0" fillId="5" borderId="142" xfId="0" applyFill="1" applyBorder="1"/>
    <xf numFmtId="0" fontId="1" fillId="5" borderId="142" xfId="0" applyFont="1" applyFill="1" applyBorder="1" applyAlignment="1">
      <alignment horizontal="right"/>
    </xf>
    <xf numFmtId="0" fontId="63" fillId="5" borderId="143" xfId="0" applyFont="1" applyFill="1" applyBorder="1"/>
    <xf numFmtId="0" fontId="63" fillId="5" borderId="144" xfId="0" applyFont="1" applyFill="1" applyBorder="1"/>
    <xf numFmtId="0" fontId="63" fillId="5" borderId="145" xfId="0" applyFont="1" applyFill="1" applyBorder="1" applyAlignment="1">
      <alignment horizontal="center"/>
    </xf>
    <xf numFmtId="0" fontId="52" fillId="5" borderId="146" xfId="0" applyFont="1" applyFill="1" applyBorder="1" applyAlignment="1">
      <alignment horizontal="center"/>
    </xf>
    <xf numFmtId="0" fontId="63" fillId="5" borderId="146" xfId="0" applyFont="1" applyFill="1" applyBorder="1" applyAlignment="1">
      <alignment horizontal="center"/>
    </xf>
    <xf numFmtId="0" fontId="20" fillId="2" borderId="1" xfId="0" applyFont="1" applyFill="1" applyBorder="1" applyAlignment="1">
      <alignment horizontal="right"/>
    </xf>
    <xf numFmtId="0" fontId="52" fillId="0" borderId="2" xfId="0" applyFont="1" applyBorder="1" applyAlignment="1">
      <alignment horizontal="center"/>
    </xf>
    <xf numFmtId="0" fontId="26" fillId="25" borderId="1" xfId="0" applyFont="1" applyFill="1" applyBorder="1" applyAlignment="1">
      <alignment horizontal="center"/>
    </xf>
    <xf numFmtId="0" fontId="26" fillId="17" borderId="1" xfId="0" applyFont="1" applyFill="1" applyBorder="1" applyAlignment="1">
      <alignment horizontal="center"/>
    </xf>
    <xf numFmtId="0" fontId="26" fillId="28" borderId="1" xfId="0" applyFont="1" applyFill="1" applyBorder="1" applyAlignment="1">
      <alignment horizontal="center"/>
    </xf>
    <xf numFmtId="0" fontId="20" fillId="28" borderId="1" xfId="0" applyFont="1" applyFill="1" applyBorder="1" applyAlignment="1">
      <alignment horizontal="center" vertical="center"/>
    </xf>
    <xf numFmtId="0" fontId="20" fillId="25" borderId="1" xfId="0" applyFont="1" applyFill="1" applyBorder="1" applyAlignment="1">
      <alignment horizontal="center" vertical="center"/>
    </xf>
    <xf numFmtId="0" fontId="51" fillId="25" borderId="1" xfId="0" applyFont="1" applyFill="1" applyBorder="1" applyAlignment="1">
      <alignment horizontal="center" vertical="center"/>
    </xf>
    <xf numFmtId="0" fontId="0" fillId="5" borderId="141" xfId="0" applyFill="1" applyBorder="1" applyAlignment="1">
      <alignment horizontal="center"/>
    </xf>
    <xf numFmtId="0" fontId="1" fillId="5" borderId="142" xfId="0" applyFont="1" applyFill="1" applyBorder="1" applyAlignment="1">
      <alignment horizontal="center"/>
    </xf>
    <xf numFmtId="0" fontId="0" fillId="5" borderId="142" xfId="0" applyFill="1" applyBorder="1" applyAlignment="1">
      <alignment horizontal="center"/>
    </xf>
    <xf numFmtId="0" fontId="0" fillId="5" borderId="143" xfId="0" applyFill="1" applyBorder="1" applyAlignment="1">
      <alignment horizontal="center"/>
    </xf>
    <xf numFmtId="0" fontId="0" fillId="5" borderId="145" xfId="0" applyFill="1" applyBorder="1"/>
    <xf numFmtId="0" fontId="1" fillId="5" borderId="146" xfId="0" applyFont="1" applyFill="1" applyBorder="1" applyAlignment="1">
      <alignment horizontal="center"/>
    </xf>
    <xf numFmtId="0" fontId="0" fillId="5" borderId="146" xfId="0" applyFill="1" applyBorder="1" applyAlignment="1">
      <alignment horizontal="center"/>
    </xf>
    <xf numFmtId="0" fontId="0" fillId="5" borderId="144" xfId="0" applyFill="1" applyBorder="1"/>
    <xf numFmtId="0" fontId="21" fillId="5" borderId="139" xfId="0" applyFont="1" applyFill="1" applyBorder="1" applyAlignment="1">
      <alignment horizontal="right"/>
    </xf>
    <xf numFmtId="0" fontId="1" fillId="5" borderId="138" xfId="0" applyFont="1" applyFill="1" applyBorder="1"/>
    <xf numFmtId="0" fontId="30" fillId="5" borderId="139" xfId="0" applyFont="1" applyFill="1" applyBorder="1" applyAlignment="1">
      <alignment horizontal="right"/>
    </xf>
    <xf numFmtId="0" fontId="1" fillId="5" borderId="139" xfId="0" applyFont="1" applyFill="1" applyBorder="1"/>
    <xf numFmtId="0" fontId="1" fillId="5" borderId="140" xfId="0" applyFont="1" applyFill="1" applyBorder="1"/>
    <xf numFmtId="0" fontId="30" fillId="5" borderId="137" xfId="0" applyFont="1" applyFill="1" applyBorder="1" applyAlignment="1">
      <alignment horizontal="left"/>
    </xf>
    <xf numFmtId="0" fontId="30" fillId="5" borderId="137" xfId="0" applyFont="1" applyFill="1" applyBorder="1" applyAlignment="1">
      <alignment horizontal="left" vertical="center"/>
    </xf>
    <xf numFmtId="0" fontId="21" fillId="2" borderId="24" xfId="0" applyFont="1" applyFill="1" applyBorder="1" applyAlignment="1">
      <alignment horizontal="center" vertical="center"/>
    </xf>
    <xf numFmtId="0" fontId="21" fillId="2" borderId="1" xfId="0" applyFont="1" applyFill="1" applyBorder="1" applyAlignment="1">
      <alignment horizontal="center"/>
    </xf>
    <xf numFmtId="0" fontId="30" fillId="0" borderId="23" xfId="0" applyFont="1" applyBorder="1" applyAlignment="1">
      <alignment horizontal="center" vertical="center"/>
    </xf>
    <xf numFmtId="0" fontId="30" fillId="0" borderId="73" xfId="0" applyFont="1" applyBorder="1" applyAlignment="1">
      <alignment horizontal="center" vertical="center"/>
    </xf>
    <xf numFmtId="0" fontId="30" fillId="0" borderId="86" xfId="0" applyFont="1" applyBorder="1" applyAlignment="1">
      <alignment horizontal="center" vertical="center"/>
    </xf>
    <xf numFmtId="0" fontId="30" fillId="0" borderId="57" xfId="0" applyFont="1" applyBorder="1" applyAlignment="1">
      <alignment horizontal="center" vertical="center"/>
    </xf>
    <xf numFmtId="0" fontId="30" fillId="0" borderId="51" xfId="0" applyFont="1" applyBorder="1" applyAlignment="1">
      <alignment horizontal="center" vertical="center"/>
    </xf>
    <xf numFmtId="0" fontId="30" fillId="0" borderId="70" xfId="0" applyFont="1" applyBorder="1" applyAlignment="1">
      <alignment horizontal="center" vertical="center"/>
    </xf>
    <xf numFmtId="0" fontId="30" fillId="0" borderId="71" xfId="0" applyFont="1" applyBorder="1" applyAlignment="1">
      <alignment horizontal="center" vertical="center"/>
    </xf>
    <xf numFmtId="0" fontId="30" fillId="0" borderId="27" xfId="0" applyFont="1" applyBorder="1" applyAlignment="1">
      <alignment horizontal="center" vertical="center"/>
    </xf>
    <xf numFmtId="0" fontId="0" fillId="0" borderId="147" xfId="0" applyBorder="1"/>
    <xf numFmtId="0" fontId="52" fillId="0" borderId="148" xfId="0" applyFont="1" applyBorder="1" applyAlignment="1">
      <alignment horizontal="center"/>
    </xf>
    <xf numFmtId="0" fontId="0" fillId="0" borderId="149" xfId="0" applyBorder="1"/>
    <xf numFmtId="0" fontId="0" fillId="28" borderId="0" xfId="0" applyFill="1"/>
    <xf numFmtId="0" fontId="44" fillId="0" borderId="0" xfId="0" applyFont="1"/>
    <xf numFmtId="0" fontId="20" fillId="28" borderId="0" xfId="0" applyFont="1" applyFill="1" applyAlignment="1">
      <alignment horizontal="left" vertical="top"/>
    </xf>
    <xf numFmtId="0" fontId="65" fillId="5" borderId="146" xfId="0" applyFont="1" applyFill="1" applyBorder="1" applyAlignment="1">
      <alignment horizontal="center"/>
    </xf>
    <xf numFmtId="0" fontId="65" fillId="5" borderId="142" xfId="0" applyFont="1" applyFill="1" applyBorder="1" applyAlignment="1">
      <alignment horizontal="center"/>
    </xf>
    <xf numFmtId="0" fontId="1" fillId="11" borderId="25" xfId="0" applyFont="1" applyFill="1" applyBorder="1" applyAlignment="1">
      <alignment horizontal="center"/>
    </xf>
    <xf numFmtId="0" fontId="1" fillId="0" borderId="66" xfId="0" applyFont="1" applyBorder="1" applyAlignment="1">
      <alignment horizontal="center"/>
    </xf>
    <xf numFmtId="0" fontId="1" fillId="27" borderId="1" xfId="0" applyFont="1" applyFill="1" applyBorder="1" applyAlignment="1">
      <alignment horizontal="center" vertical="center"/>
    </xf>
    <xf numFmtId="0" fontId="1" fillId="0" borderId="29" xfId="0" applyFont="1" applyBorder="1" applyAlignment="1">
      <alignment horizontal="center"/>
    </xf>
    <xf numFmtId="0" fontId="1" fillId="18" borderId="21" xfId="0" applyFont="1" applyFill="1" applyBorder="1" applyAlignment="1">
      <alignment horizontal="center" vertical="center"/>
    </xf>
    <xf numFmtId="0" fontId="1" fillId="27" borderId="21" xfId="0" applyFont="1" applyFill="1" applyBorder="1" applyAlignment="1">
      <alignment horizontal="center" vertical="center"/>
    </xf>
    <xf numFmtId="0" fontId="1" fillId="17" borderId="21" xfId="0" applyFont="1" applyFill="1" applyBorder="1" applyAlignment="1">
      <alignment horizontal="center" vertical="center"/>
    </xf>
    <xf numFmtId="0" fontId="1" fillId="11" borderId="66" xfId="0" applyFont="1" applyFill="1" applyBorder="1" applyAlignment="1">
      <alignment horizontal="center" vertical="center"/>
    </xf>
    <xf numFmtId="0" fontId="1" fillId="28" borderId="21" xfId="0" applyFont="1" applyFill="1" applyBorder="1" applyAlignment="1">
      <alignment horizontal="center" vertical="center"/>
    </xf>
    <xf numFmtId="0" fontId="48" fillId="8" borderId="152" xfId="0" applyFont="1" applyFill="1" applyBorder="1" applyAlignment="1">
      <alignment horizontal="center"/>
    </xf>
    <xf numFmtId="0" fontId="48" fillId="5" borderId="152" xfId="0" applyFont="1" applyFill="1" applyBorder="1"/>
    <xf numFmtId="0" fontId="65" fillId="8" borderId="142" xfId="0" applyFont="1" applyFill="1" applyBorder="1" applyAlignment="1">
      <alignment horizontal="center"/>
    </xf>
    <xf numFmtId="0" fontId="65" fillId="8" borderId="146" xfId="0" applyFont="1" applyFill="1" applyBorder="1" applyAlignment="1">
      <alignment horizontal="center"/>
    </xf>
    <xf numFmtId="0" fontId="48" fillId="5" borderId="153" xfId="0" applyFont="1" applyFill="1" applyBorder="1" applyAlignment="1">
      <alignment horizontal="left"/>
    </xf>
    <xf numFmtId="0" fontId="65" fillId="8" borderId="153" xfId="0" applyFont="1" applyFill="1" applyBorder="1" applyAlignment="1">
      <alignment horizontal="center"/>
    </xf>
    <xf numFmtId="0" fontId="1" fillId="28" borderId="41" xfId="0" applyFont="1" applyFill="1" applyBorder="1" applyAlignment="1">
      <alignment horizontal="center" vertical="center"/>
    </xf>
    <xf numFmtId="0" fontId="1" fillId="27" borderId="41" xfId="0" applyFont="1" applyFill="1" applyBorder="1" applyAlignment="1">
      <alignment horizontal="center" vertical="center"/>
    </xf>
    <xf numFmtId="0" fontId="52" fillId="0" borderId="0" xfId="0" applyFont="1" applyAlignment="1">
      <alignment horizontal="right"/>
    </xf>
    <xf numFmtId="0" fontId="52" fillId="14" borderId="0" xfId="0" applyFont="1" applyFill="1" applyAlignment="1">
      <alignment horizontal="right"/>
    </xf>
    <xf numFmtId="0" fontId="52" fillId="7" borderId="0" xfId="0" applyFont="1" applyFill="1" applyAlignment="1">
      <alignment horizontal="right"/>
    </xf>
    <xf numFmtId="0" fontId="0" fillId="0" borderId="2" xfId="0" applyBorder="1" applyAlignment="1">
      <alignment horizontal="center"/>
    </xf>
    <xf numFmtId="0" fontId="52" fillId="0" borderId="3" xfId="0" applyFont="1" applyBorder="1" applyAlignment="1">
      <alignment horizontal="right"/>
    </xf>
    <xf numFmtId="0" fontId="0" fillId="0" borderId="16" xfId="0" applyBorder="1" applyAlignment="1">
      <alignment horizontal="center"/>
    </xf>
    <xf numFmtId="0" fontId="52" fillId="0" borderId="14" xfId="0" applyFont="1" applyBorder="1" applyAlignment="1">
      <alignment horizontal="right"/>
    </xf>
    <xf numFmtId="0" fontId="19" fillId="0" borderId="42" xfId="0" applyFont="1" applyBorder="1" applyAlignment="1">
      <alignment horizontal="center"/>
    </xf>
    <xf numFmtId="0" fontId="1" fillId="28" borderId="21" xfId="0" applyFont="1" applyFill="1" applyBorder="1" applyAlignment="1">
      <alignment horizontal="center"/>
    </xf>
    <xf numFmtId="0" fontId="1" fillId="17" borderId="21" xfId="0" applyFont="1" applyFill="1" applyBorder="1" applyAlignment="1">
      <alignment horizontal="center"/>
    </xf>
    <xf numFmtId="0" fontId="1" fillId="27" borderId="21" xfId="0" applyFont="1" applyFill="1" applyBorder="1" applyAlignment="1">
      <alignment horizontal="center"/>
    </xf>
    <xf numFmtId="0" fontId="1" fillId="18" borderId="21" xfId="0" applyFont="1" applyFill="1" applyBorder="1" applyAlignment="1">
      <alignment horizontal="center"/>
    </xf>
    <xf numFmtId="0" fontId="1" fillId="28" borderId="41" xfId="0" applyFont="1" applyFill="1" applyBorder="1" applyAlignment="1">
      <alignment horizontal="center"/>
    </xf>
    <xf numFmtId="0" fontId="1" fillId="11" borderId="3" xfId="0" applyFont="1" applyFill="1" applyBorder="1" applyAlignment="1">
      <alignment horizontal="center"/>
    </xf>
    <xf numFmtId="0" fontId="1" fillId="17" borderId="41" xfId="0" applyFont="1" applyFill="1" applyBorder="1" applyAlignment="1">
      <alignment horizontal="center"/>
    </xf>
    <xf numFmtId="0" fontId="1" fillId="27" borderId="41" xfId="0" applyFont="1" applyFill="1" applyBorder="1" applyAlignment="1">
      <alignment horizontal="center"/>
    </xf>
    <xf numFmtId="0" fontId="1" fillId="18" borderId="40" xfId="0" applyFont="1" applyFill="1" applyBorder="1" applyAlignment="1">
      <alignment horizontal="center"/>
    </xf>
    <xf numFmtId="0" fontId="1" fillId="11" borderId="2" xfId="0" applyFont="1" applyFill="1" applyBorder="1" applyAlignment="1">
      <alignment horizontal="center" vertical="center"/>
    </xf>
    <xf numFmtId="0" fontId="1" fillId="28" borderId="2" xfId="0" applyFont="1" applyFill="1" applyBorder="1" applyAlignment="1">
      <alignment horizontal="center" vertical="center"/>
    </xf>
    <xf numFmtId="0" fontId="1" fillId="17" borderId="2" xfId="0" applyFont="1" applyFill="1" applyBorder="1" applyAlignment="1">
      <alignment horizontal="center" vertical="center"/>
    </xf>
    <xf numFmtId="0" fontId="1" fillId="27" borderId="2" xfId="0" applyFont="1" applyFill="1" applyBorder="1" applyAlignment="1">
      <alignment horizontal="center" vertical="center"/>
    </xf>
    <xf numFmtId="0" fontId="0" fillId="0" borderId="40"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5" borderId="41" xfId="0" applyFill="1" applyBorder="1" applyAlignment="1">
      <alignment horizontal="center"/>
    </xf>
    <xf numFmtId="0" fontId="0" fillId="5" borderId="3" xfId="0" applyFill="1" applyBorder="1" applyAlignment="1">
      <alignment horizontal="center"/>
    </xf>
    <xf numFmtId="0" fontId="1" fillId="7" borderId="154" xfId="0" applyFont="1" applyFill="1" applyBorder="1" applyAlignment="1">
      <alignment horizontal="right"/>
    </xf>
    <xf numFmtId="0" fontId="1" fillId="7" borderId="156" xfId="0" applyFont="1" applyFill="1" applyBorder="1" applyAlignment="1">
      <alignment horizontal="right"/>
    </xf>
    <xf numFmtId="0" fontId="1" fillId="14" borderId="154" xfId="0" applyFont="1" applyFill="1" applyBorder="1" applyAlignment="1">
      <alignment horizontal="right"/>
    </xf>
    <xf numFmtId="0" fontId="1" fillId="14" borderId="156" xfId="0" applyFont="1" applyFill="1" applyBorder="1" applyAlignment="1">
      <alignment horizontal="right"/>
    </xf>
    <xf numFmtId="0" fontId="52" fillId="28" borderId="3" xfId="0" applyFont="1" applyFill="1" applyBorder="1" applyAlignment="1">
      <alignment horizontal="right"/>
    </xf>
    <xf numFmtId="0" fontId="0" fillId="33" borderId="5" xfId="0" applyFill="1" applyBorder="1" applyAlignment="1">
      <alignment horizontal="center"/>
    </xf>
    <xf numFmtId="0" fontId="0" fillId="33" borderId="40" xfId="0" applyFill="1" applyBorder="1" applyAlignment="1">
      <alignment horizontal="center"/>
    </xf>
    <xf numFmtId="0" fontId="52" fillId="17" borderId="0" xfId="0" applyFont="1" applyFill="1" applyAlignment="1">
      <alignment horizontal="center"/>
    </xf>
    <xf numFmtId="0" fontId="52" fillId="8" borderId="0" xfId="0" applyFont="1" applyFill="1" applyAlignment="1">
      <alignment horizontal="center"/>
    </xf>
    <xf numFmtId="0" fontId="52" fillId="14" borderId="1" xfId="0" applyFont="1" applyFill="1" applyBorder="1" applyAlignment="1">
      <alignment horizontal="center"/>
    </xf>
    <xf numFmtId="0" fontId="52" fillId="7" borderId="1" xfId="0" applyFont="1" applyFill="1" applyBorder="1" applyAlignment="1">
      <alignment horizontal="center"/>
    </xf>
    <xf numFmtId="0" fontId="25" fillId="0" borderId="12" xfId="0" applyFont="1" applyBorder="1" applyAlignment="1">
      <alignment horizontal="center"/>
    </xf>
    <xf numFmtId="0" fontId="25" fillId="0" borderId="13" xfId="0" applyFont="1" applyBorder="1" applyAlignment="1">
      <alignment horizontal="center"/>
    </xf>
    <xf numFmtId="0" fontId="0" fillId="0" borderId="0" xfId="0" applyAlignment="1">
      <alignment horizontal="left"/>
    </xf>
    <xf numFmtId="0" fontId="0" fillId="0" borderId="133" xfId="0" applyBorder="1"/>
    <xf numFmtId="0" fontId="0" fillId="22" borderId="3" xfId="0" applyFill="1" applyBorder="1"/>
    <xf numFmtId="0" fontId="1" fillId="22" borderId="3" xfId="0" applyFont="1" applyFill="1" applyBorder="1" applyAlignment="1">
      <alignment horizontal="right"/>
    </xf>
    <xf numFmtId="0" fontId="0" fillId="22" borderId="19" xfId="0" applyFill="1" applyBorder="1"/>
    <xf numFmtId="0" fontId="19" fillId="22" borderId="0" xfId="0" applyFont="1" applyFill="1" applyAlignment="1">
      <alignment horizontal="right"/>
    </xf>
    <xf numFmtId="0" fontId="0" fillId="22" borderId="42" xfId="0" applyFill="1" applyBorder="1"/>
    <xf numFmtId="0" fontId="0" fillId="22" borderId="14" xfId="0" applyFill="1" applyBorder="1"/>
    <xf numFmtId="0" fontId="0" fillId="22" borderId="20" xfId="0" applyFill="1" applyBorder="1"/>
    <xf numFmtId="0" fontId="1" fillId="22" borderId="0" xfId="0" applyFont="1" applyFill="1" applyAlignment="1">
      <alignment horizontal="right"/>
    </xf>
    <xf numFmtId="0" fontId="0" fillId="22" borderId="0" xfId="0" applyFill="1" applyAlignment="1">
      <alignment horizontal="left"/>
    </xf>
    <xf numFmtId="0" fontId="0" fillId="22" borderId="0" xfId="0" applyFill="1"/>
    <xf numFmtId="0" fontId="25" fillId="34" borderId="135" xfId="0" applyFont="1" applyFill="1" applyBorder="1" applyAlignment="1">
      <alignment horizontal="center"/>
    </xf>
    <xf numFmtId="0" fontId="25" fillId="34" borderId="133" xfId="0" applyFont="1" applyFill="1" applyBorder="1" applyAlignment="1">
      <alignment horizontal="center" vertical="center"/>
    </xf>
    <xf numFmtId="0" fontId="19" fillId="34" borderId="133" xfId="0" applyFont="1" applyFill="1" applyBorder="1" applyAlignment="1">
      <alignment horizontal="center" vertical="center"/>
    </xf>
    <xf numFmtId="0" fontId="19" fillId="34" borderId="135" xfId="0" applyFont="1" applyFill="1" applyBorder="1" applyAlignment="1">
      <alignment horizontal="center" vertical="center"/>
    </xf>
    <xf numFmtId="0" fontId="1" fillId="0" borderId="14" xfId="0" applyFont="1" applyBorder="1" applyAlignment="1">
      <alignment horizontal="right"/>
    </xf>
    <xf numFmtId="0" fontId="0" fillId="5" borderId="0" xfId="0" applyFill="1" applyAlignment="1">
      <alignment horizontal="center" vertical="center"/>
    </xf>
    <xf numFmtId="0" fontId="63" fillId="0" borderId="19" xfId="0" applyFont="1" applyBorder="1" applyAlignment="1">
      <alignment horizontal="center"/>
    </xf>
    <xf numFmtId="0" fontId="20" fillId="35" borderId="133" xfId="0" applyFont="1" applyFill="1" applyBorder="1" applyAlignment="1">
      <alignment horizontal="center" vertical="center"/>
    </xf>
    <xf numFmtId="0" fontId="1" fillId="28" borderId="133" xfId="0" applyFont="1" applyFill="1" applyBorder="1" applyAlignment="1">
      <alignment horizontal="center" vertical="center"/>
    </xf>
    <xf numFmtId="0" fontId="1" fillId="0" borderId="133" xfId="0" applyFont="1" applyBorder="1" applyAlignment="1">
      <alignment horizontal="center" vertical="center"/>
    </xf>
    <xf numFmtId="0" fontId="1" fillId="11" borderId="133" xfId="0" applyFont="1" applyFill="1" applyBorder="1" applyAlignment="1">
      <alignment horizontal="center" vertical="center"/>
    </xf>
    <xf numFmtId="0" fontId="1" fillId="17" borderId="133" xfId="0" applyFont="1" applyFill="1" applyBorder="1" applyAlignment="1">
      <alignment horizontal="center" vertical="center"/>
    </xf>
    <xf numFmtId="0" fontId="1" fillId="27" borderId="133" xfId="0" applyFont="1" applyFill="1" applyBorder="1" applyAlignment="1">
      <alignment horizontal="center" vertical="center"/>
    </xf>
    <xf numFmtId="0" fontId="1" fillId="18" borderId="133" xfId="0" applyFont="1" applyFill="1" applyBorder="1" applyAlignment="1">
      <alignment horizontal="center" vertical="center"/>
    </xf>
    <xf numFmtId="0" fontId="1" fillId="18" borderId="0" xfId="0" applyFont="1" applyFill="1" applyAlignment="1">
      <alignment horizontal="center" vertical="center"/>
    </xf>
    <xf numFmtId="0" fontId="1" fillId="27" borderId="0" xfId="0" applyFont="1" applyFill="1" applyAlignment="1">
      <alignment horizontal="center" vertical="center"/>
    </xf>
    <xf numFmtId="0" fontId="1" fillId="17" borderId="0" xfId="0" applyFont="1" applyFill="1" applyAlignment="1">
      <alignment horizontal="center" vertical="center"/>
    </xf>
    <xf numFmtId="0" fontId="1" fillId="11" borderId="0" xfId="0" applyFont="1" applyFill="1" applyAlignment="1">
      <alignment horizontal="center" vertical="center"/>
    </xf>
    <xf numFmtId="0" fontId="1" fillId="28" borderId="0" xfId="0" applyFont="1" applyFill="1" applyAlignment="1">
      <alignment horizontal="center" vertical="center"/>
    </xf>
    <xf numFmtId="0" fontId="20" fillId="35" borderId="41" xfId="0" applyFont="1" applyFill="1" applyBorder="1" applyAlignment="1">
      <alignment horizontal="center" vertical="center"/>
    </xf>
    <xf numFmtId="0" fontId="20" fillId="35" borderId="2" xfId="0" applyFont="1" applyFill="1" applyBorder="1" applyAlignment="1">
      <alignment horizontal="center" vertical="center"/>
    </xf>
    <xf numFmtId="0" fontId="20" fillId="35" borderId="3" xfId="0" applyFont="1" applyFill="1" applyBorder="1" applyAlignment="1">
      <alignment horizontal="center" vertical="center"/>
    </xf>
    <xf numFmtId="0" fontId="20" fillId="35" borderId="1" xfId="0" applyFont="1" applyFill="1" applyBorder="1" applyAlignment="1">
      <alignment horizontal="center" vertical="center"/>
    </xf>
    <xf numFmtId="0" fontId="0" fillId="0" borderId="1" xfId="0" applyBorder="1" applyAlignment="1">
      <alignment horizontal="right"/>
    </xf>
    <xf numFmtId="0" fontId="1" fillId="11" borderId="1" xfId="0" applyFont="1" applyFill="1" applyBorder="1" applyAlignment="1">
      <alignment horizontal="center" vertical="center"/>
    </xf>
    <xf numFmtId="0" fontId="0" fillId="0" borderId="159" xfId="0" applyBorder="1" applyAlignment="1">
      <alignment horizontal="center" vertical="center"/>
    </xf>
    <xf numFmtId="0" fontId="1" fillId="18" borderId="159" xfId="0" applyFont="1" applyFill="1" applyBorder="1" applyAlignment="1">
      <alignment horizontal="center" vertical="center"/>
    </xf>
    <xf numFmtId="0" fontId="1" fillId="27" borderId="159" xfId="0" applyFont="1" applyFill="1" applyBorder="1" applyAlignment="1">
      <alignment horizontal="center" vertical="center"/>
    </xf>
    <xf numFmtId="0" fontId="1" fillId="17" borderId="159" xfId="0" applyFont="1" applyFill="1" applyBorder="1" applyAlignment="1">
      <alignment horizontal="center" vertical="center"/>
    </xf>
    <xf numFmtId="0" fontId="1" fillId="11" borderId="159" xfId="0" applyFont="1" applyFill="1" applyBorder="1" applyAlignment="1">
      <alignment horizontal="center" vertical="center"/>
    </xf>
    <xf numFmtId="0" fontId="1" fillId="28" borderId="159" xfId="0" applyFont="1" applyFill="1" applyBorder="1" applyAlignment="1">
      <alignment horizontal="center" vertical="center"/>
    </xf>
    <xf numFmtId="0" fontId="20" fillId="35" borderId="21" xfId="0" applyFont="1" applyFill="1" applyBorder="1" applyAlignment="1">
      <alignment horizontal="center" vertical="center"/>
    </xf>
    <xf numFmtId="0" fontId="63" fillId="5" borderId="160" xfId="0" applyFont="1" applyFill="1" applyBorder="1" applyAlignment="1">
      <alignment horizontal="center"/>
    </xf>
    <xf numFmtId="0" fontId="19" fillId="34" borderId="6" xfId="0" applyFont="1" applyFill="1" applyBorder="1" applyAlignment="1">
      <alignment horizontal="center" vertical="center"/>
    </xf>
    <xf numFmtId="0" fontId="1" fillId="15" borderId="4" xfId="0" applyFont="1" applyFill="1" applyBorder="1" applyAlignment="1">
      <alignment horizontal="center"/>
    </xf>
    <xf numFmtId="0" fontId="1" fillId="15" borderId="6" xfId="0" applyFont="1" applyFill="1" applyBorder="1" applyAlignment="1">
      <alignment horizontal="center"/>
    </xf>
    <xf numFmtId="0" fontId="1" fillId="15" borderId="11" xfId="0" applyFont="1" applyFill="1" applyBorder="1" applyAlignment="1">
      <alignment horizontal="center"/>
    </xf>
    <xf numFmtId="0" fontId="1" fillId="15" borderId="28" xfId="0" applyFont="1" applyFill="1" applyBorder="1" applyAlignment="1">
      <alignment horizontal="center"/>
    </xf>
    <xf numFmtId="0" fontId="1" fillId="22" borderId="0" xfId="0" applyFont="1" applyFill="1" applyAlignment="1">
      <alignment horizontal="right" vertical="center"/>
    </xf>
    <xf numFmtId="49" fontId="1" fillId="22" borderId="3" xfId="0" applyNumberFormat="1" applyFont="1" applyFill="1" applyBorder="1" applyAlignment="1">
      <alignment horizontal="right"/>
    </xf>
    <xf numFmtId="0" fontId="1" fillId="22" borderId="14" xfId="0" applyFont="1" applyFill="1" applyBorder="1"/>
    <xf numFmtId="0" fontId="1" fillId="22" borderId="14" xfId="0" applyFont="1" applyFill="1" applyBorder="1" applyAlignment="1">
      <alignment horizontal="left" vertical="center"/>
    </xf>
    <xf numFmtId="0" fontId="1" fillId="8" borderId="34" xfId="0" applyFont="1" applyFill="1" applyBorder="1" applyAlignment="1">
      <alignment horizontal="center"/>
    </xf>
    <xf numFmtId="0" fontId="1" fillId="8" borderId="42" xfId="0" applyFont="1" applyFill="1" applyBorder="1" applyAlignment="1">
      <alignment horizontal="center"/>
    </xf>
    <xf numFmtId="0" fontId="1" fillId="22" borderId="1" xfId="0" applyFont="1" applyFill="1" applyBorder="1" applyAlignment="1">
      <alignment horizontal="right" vertical="center"/>
    </xf>
    <xf numFmtId="0" fontId="19" fillId="22" borderId="34" xfId="0" applyFont="1" applyFill="1" applyBorder="1" applyAlignment="1">
      <alignment horizontal="center"/>
    </xf>
    <xf numFmtId="0" fontId="19" fillId="22" borderId="16" xfId="0" applyFont="1" applyFill="1" applyBorder="1" applyAlignment="1">
      <alignment horizontal="center"/>
    </xf>
    <xf numFmtId="0" fontId="19" fillId="34" borderId="1" xfId="0" applyFont="1" applyFill="1" applyBorder="1" applyAlignment="1">
      <alignment horizontal="center"/>
    </xf>
    <xf numFmtId="0" fontId="1" fillId="14" borderId="155" xfId="0" applyFont="1" applyFill="1" applyBorder="1" applyAlignment="1">
      <alignment horizontal="left"/>
    </xf>
    <xf numFmtId="0" fontId="1" fillId="14" borderId="157" xfId="0" applyFont="1" applyFill="1" applyBorder="1" applyAlignment="1">
      <alignment horizontal="left"/>
    </xf>
    <xf numFmtId="0" fontId="1" fillId="7" borderId="155" xfId="0" applyFont="1" applyFill="1" applyBorder="1" applyAlignment="1">
      <alignment horizontal="left"/>
    </xf>
    <xf numFmtId="0" fontId="1" fillId="7" borderId="158" xfId="0" applyFont="1" applyFill="1" applyBorder="1" applyAlignment="1">
      <alignment horizontal="left"/>
    </xf>
    <xf numFmtId="0" fontId="19" fillId="15" borderId="1" xfId="0" applyFont="1" applyFill="1" applyBorder="1" applyAlignment="1">
      <alignment horizontal="center" vertical="center"/>
    </xf>
    <xf numFmtId="0" fontId="25" fillId="0" borderId="0" xfId="0" applyFont="1" applyAlignment="1">
      <alignment vertical="center"/>
    </xf>
    <xf numFmtId="0" fontId="19" fillId="34" borderId="32" xfId="0" applyFont="1" applyFill="1" applyBorder="1" applyAlignment="1">
      <alignment horizontal="center"/>
    </xf>
    <xf numFmtId="0" fontId="19" fillId="34" borderId="28" xfId="0" applyFont="1" applyFill="1" applyBorder="1" applyAlignment="1">
      <alignment horizontal="center" vertical="center"/>
    </xf>
    <xf numFmtId="0" fontId="19" fillId="34" borderId="1" xfId="0" applyFont="1" applyFill="1" applyBorder="1" applyAlignment="1">
      <alignment horizontal="center" vertical="center"/>
    </xf>
    <xf numFmtId="0" fontId="1" fillId="22" borderId="21" xfId="0" applyFont="1" applyFill="1" applyBorder="1" applyAlignment="1">
      <alignment horizontal="right"/>
    </xf>
    <xf numFmtId="0" fontId="1" fillId="22" borderId="1" xfId="0" applyFont="1" applyFill="1" applyBorder="1" applyAlignment="1">
      <alignment horizontal="center" vertical="center"/>
    </xf>
    <xf numFmtId="0" fontId="1" fillId="22" borderId="1" xfId="0" applyFont="1" applyFill="1" applyBorder="1" applyAlignment="1">
      <alignment horizontal="center"/>
    </xf>
    <xf numFmtId="0" fontId="1" fillId="10" borderId="127" xfId="0" applyFont="1" applyFill="1" applyBorder="1" applyAlignment="1">
      <alignment horizontal="center" vertical="center"/>
    </xf>
    <xf numFmtId="0" fontId="30" fillId="10" borderId="129" xfId="0" applyFont="1" applyFill="1" applyBorder="1" applyAlignment="1">
      <alignment horizontal="center" vertical="center"/>
    </xf>
    <xf numFmtId="0" fontId="1" fillId="10" borderId="129" xfId="0" applyFont="1" applyFill="1" applyBorder="1" applyAlignment="1">
      <alignment horizontal="center" vertical="center"/>
    </xf>
    <xf numFmtId="0" fontId="0" fillId="0" borderId="66" xfId="0" applyBorder="1" applyAlignment="1">
      <alignment horizontal="center"/>
    </xf>
    <xf numFmtId="0" fontId="0" fillId="0" borderId="45" xfId="0" applyBorder="1" applyAlignment="1">
      <alignment horizontal="center"/>
    </xf>
    <xf numFmtId="0" fontId="0" fillId="0" borderId="67" xfId="0" applyBorder="1" applyAlignment="1">
      <alignment horizontal="center"/>
    </xf>
    <xf numFmtId="0" fontId="1" fillId="0" borderId="32" xfId="0" applyFont="1" applyBorder="1" applyAlignment="1">
      <alignment horizontal="center" vertical="center"/>
    </xf>
    <xf numFmtId="0" fontId="16" fillId="12" borderId="129" xfId="0" applyFont="1" applyFill="1" applyBorder="1" applyAlignment="1">
      <alignment horizontal="center" vertical="center"/>
    </xf>
    <xf numFmtId="0" fontId="1" fillId="27" borderId="40" xfId="0" applyFont="1" applyFill="1" applyBorder="1" applyAlignment="1">
      <alignment horizontal="center"/>
    </xf>
    <xf numFmtId="0" fontId="1" fillId="27" borderId="22" xfId="0" applyFont="1" applyFill="1" applyBorder="1" applyAlignment="1">
      <alignment horizontal="center" vertical="center"/>
    </xf>
    <xf numFmtId="0" fontId="64" fillId="22" borderId="1" xfId="0" applyFont="1" applyFill="1" applyBorder="1" applyAlignment="1">
      <alignment horizontal="center"/>
    </xf>
    <xf numFmtId="0" fontId="52" fillId="22" borderId="1" xfId="0" applyFont="1" applyFill="1" applyBorder="1" applyAlignment="1">
      <alignment horizontal="center" vertical="center"/>
    </xf>
    <xf numFmtId="0" fontId="66" fillId="0" borderId="0" xfId="0" applyFont="1"/>
    <xf numFmtId="0" fontId="51" fillId="28" borderId="1" xfId="0" applyFont="1" applyFill="1" applyBorder="1" applyAlignment="1">
      <alignment horizontal="center" vertical="center"/>
    </xf>
    <xf numFmtId="0" fontId="1" fillId="5" borderId="60" xfId="0" applyFont="1" applyFill="1" applyBorder="1" applyAlignment="1">
      <alignment horizont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19" xfId="0" applyBorder="1" applyAlignment="1">
      <alignment horizontal="center" vertical="center"/>
    </xf>
    <xf numFmtId="0" fontId="0" fillId="0" borderId="14" xfId="0" applyBorder="1" applyAlignment="1">
      <alignment horizontal="left" vertical="center"/>
    </xf>
    <xf numFmtId="0" fontId="0" fillId="0" borderId="20" xfId="0" applyBorder="1" applyAlignment="1">
      <alignment horizontal="left" vertical="center"/>
    </xf>
    <xf numFmtId="0" fontId="0" fillId="0" borderId="42" xfId="0" applyBorder="1" applyAlignment="1">
      <alignment horizontal="left" vertical="center"/>
    </xf>
    <xf numFmtId="0" fontId="1" fillId="0" borderId="0" xfId="0" applyFont="1" applyAlignment="1">
      <alignment horizontal="right" vertical="center" indent="1"/>
    </xf>
    <xf numFmtId="0" fontId="0" fillId="29" borderId="4" xfId="0" applyFill="1" applyBorder="1" applyAlignment="1">
      <alignment horizontal="center"/>
    </xf>
    <xf numFmtId="0" fontId="0" fillId="29" borderId="40" xfId="0" applyFill="1" applyBorder="1" applyAlignment="1">
      <alignment horizontal="center"/>
    </xf>
    <xf numFmtId="0" fontId="0" fillId="0" borderId="65" xfId="0" applyBorder="1" applyAlignment="1">
      <alignment horizontal="center"/>
    </xf>
    <xf numFmtId="0" fontId="52" fillId="17" borderId="0" xfId="0" applyFont="1" applyFill="1" applyAlignment="1">
      <alignment horizontal="center" vertical="center"/>
    </xf>
    <xf numFmtId="0" fontId="0" fillId="12" borderId="131" xfId="0" applyFill="1" applyBorder="1" applyAlignment="1">
      <alignment horizontal="center" vertical="center"/>
    </xf>
    <xf numFmtId="0" fontId="0" fillId="8" borderId="127" xfId="0" applyFill="1" applyBorder="1" applyAlignment="1">
      <alignment horizontal="center" vertical="center"/>
    </xf>
    <xf numFmtId="0" fontId="0" fillId="8" borderId="131" xfId="0" applyFill="1" applyBorder="1" applyAlignment="1">
      <alignment horizontal="center" vertical="center"/>
    </xf>
    <xf numFmtId="0" fontId="0" fillId="12" borderId="127" xfId="0" applyFill="1" applyBorder="1" applyAlignment="1">
      <alignment horizontal="center" vertical="center"/>
    </xf>
    <xf numFmtId="0" fontId="62" fillId="0" borderId="0" xfId="0" applyFont="1"/>
    <xf numFmtId="0" fontId="0" fillId="0" borderId="161" xfId="0" applyBorder="1"/>
    <xf numFmtId="0" fontId="0" fillId="0" borderId="162" xfId="0" applyBorder="1"/>
    <xf numFmtId="0" fontId="0" fillId="0" borderId="163" xfId="0" applyBorder="1"/>
    <xf numFmtId="0" fontId="0" fillId="0" borderId="164" xfId="0" applyBorder="1"/>
    <xf numFmtId="0" fontId="0" fillId="0" borderId="165" xfId="0" applyBorder="1"/>
    <xf numFmtId="0" fontId="0" fillId="5" borderId="0" xfId="0" applyFill="1" applyAlignment="1">
      <alignment horizontal="center"/>
    </xf>
    <xf numFmtId="0" fontId="0" fillId="0" borderId="166" xfId="0" applyBorder="1"/>
    <xf numFmtId="0" fontId="0" fillId="0" borderId="167" xfId="0" applyBorder="1"/>
    <xf numFmtId="0" fontId="0" fillId="0" borderId="168" xfId="0" applyBorder="1"/>
    <xf numFmtId="0" fontId="0" fillId="14" borderId="155" xfId="0" applyFill="1" applyBorder="1"/>
    <xf numFmtId="0" fontId="19" fillId="28" borderId="41" xfId="0" applyFont="1" applyFill="1" applyBorder="1" applyAlignment="1">
      <alignment horizontal="center" vertical="center"/>
    </xf>
    <xf numFmtId="0" fontId="19" fillId="11" borderId="41" xfId="0" applyFont="1" applyFill="1" applyBorder="1" applyAlignment="1">
      <alignment horizontal="center" vertical="center"/>
    </xf>
    <xf numFmtId="0" fontId="19" fillId="17" borderId="41" xfId="0" applyFont="1" applyFill="1" applyBorder="1" applyAlignment="1">
      <alignment horizontal="center" vertical="center"/>
    </xf>
    <xf numFmtId="0" fontId="19" fillId="27" borderId="41" xfId="0" applyFont="1" applyFill="1" applyBorder="1" applyAlignment="1">
      <alignment horizontal="center" vertical="center"/>
    </xf>
    <xf numFmtId="0" fontId="19" fillId="18" borderId="41" xfId="0" applyFont="1" applyFill="1" applyBorder="1" applyAlignment="1">
      <alignment horizontal="center" vertical="center"/>
    </xf>
    <xf numFmtId="0" fontId="19" fillId="28" borderId="133" xfId="0" applyFont="1" applyFill="1" applyBorder="1" applyAlignment="1">
      <alignment horizontal="center" vertical="center"/>
    </xf>
    <xf numFmtId="0" fontId="19" fillId="11" borderId="133" xfId="0" applyFont="1" applyFill="1" applyBorder="1" applyAlignment="1">
      <alignment horizontal="center" vertical="center"/>
    </xf>
    <xf numFmtId="0" fontId="19" fillId="17" borderId="133" xfId="0" applyFont="1" applyFill="1" applyBorder="1" applyAlignment="1">
      <alignment horizontal="center" vertical="center"/>
    </xf>
    <xf numFmtId="0" fontId="19" fillId="27" borderId="133" xfId="0" applyFont="1" applyFill="1" applyBorder="1" applyAlignment="1">
      <alignment horizontal="center" vertical="center"/>
    </xf>
    <xf numFmtId="0" fontId="19" fillId="18" borderId="133" xfId="0" applyFont="1" applyFill="1" applyBorder="1" applyAlignment="1">
      <alignment horizontal="center" vertical="center"/>
    </xf>
    <xf numFmtId="0" fontId="19" fillId="18" borderId="21" xfId="0" applyFont="1" applyFill="1" applyBorder="1" applyAlignment="1">
      <alignment horizontal="center"/>
    </xf>
    <xf numFmtId="0" fontId="19" fillId="18" borderId="1" xfId="0" applyFont="1" applyFill="1" applyBorder="1" applyAlignment="1">
      <alignment horizontal="center" vertical="center"/>
    </xf>
    <xf numFmtId="0" fontId="19" fillId="13" borderId="12" xfId="0" applyFont="1" applyFill="1" applyBorder="1" applyAlignment="1">
      <alignment horizontal="center" vertical="center"/>
    </xf>
    <xf numFmtId="0" fontId="19" fillId="13" borderId="51" xfId="0" applyFont="1" applyFill="1" applyBorder="1" applyAlignment="1">
      <alignment horizontal="center" vertical="center"/>
    </xf>
    <xf numFmtId="0" fontId="19" fillId="17" borderId="51" xfId="0" applyFont="1" applyFill="1" applyBorder="1" applyAlignment="1">
      <alignment horizontal="center" vertical="center"/>
    </xf>
    <xf numFmtId="0" fontId="19" fillId="27" borderId="51" xfId="0" applyFont="1" applyFill="1" applyBorder="1" applyAlignment="1">
      <alignment horizontal="center" vertical="center"/>
    </xf>
    <xf numFmtId="0" fontId="19" fillId="18" borderId="18" xfId="0" applyFont="1" applyFill="1" applyBorder="1" applyAlignment="1">
      <alignment horizontal="center" vertical="center"/>
    </xf>
    <xf numFmtId="0" fontId="19" fillId="27" borderId="21" xfId="0" applyFont="1" applyFill="1" applyBorder="1" applyAlignment="1">
      <alignment horizontal="center"/>
    </xf>
    <xf numFmtId="0" fontId="19" fillId="27" borderId="1" xfId="0" applyFont="1" applyFill="1" applyBorder="1" applyAlignment="1">
      <alignment horizontal="center" vertical="center"/>
    </xf>
    <xf numFmtId="0" fontId="19" fillId="13" borderId="49" xfId="0" applyFont="1" applyFill="1" applyBorder="1" applyAlignment="1">
      <alignment horizontal="center" vertical="center"/>
    </xf>
    <xf numFmtId="0" fontId="19" fillId="17" borderId="49" xfId="0" applyFont="1" applyFill="1" applyBorder="1" applyAlignment="1">
      <alignment horizontal="center" vertical="center"/>
    </xf>
    <xf numFmtId="0" fontId="19" fillId="27" borderId="49" xfId="0" applyFont="1" applyFill="1" applyBorder="1" applyAlignment="1">
      <alignment horizontal="center" vertical="center"/>
    </xf>
    <xf numFmtId="0" fontId="19" fillId="18" borderId="36" xfId="0" applyFont="1" applyFill="1" applyBorder="1" applyAlignment="1">
      <alignment horizontal="center" vertical="center"/>
    </xf>
    <xf numFmtId="0" fontId="19" fillId="17" borderId="21" xfId="0" applyFont="1" applyFill="1" applyBorder="1" applyAlignment="1">
      <alignment horizontal="center"/>
    </xf>
    <xf numFmtId="0" fontId="19" fillId="17" borderId="1" xfId="0" applyFont="1" applyFill="1" applyBorder="1" applyAlignment="1">
      <alignment horizontal="center" vertical="center"/>
    </xf>
    <xf numFmtId="0" fontId="19" fillId="25" borderId="49" xfId="0" applyFont="1" applyFill="1" applyBorder="1" applyAlignment="1">
      <alignment horizontal="center" vertical="center"/>
    </xf>
    <xf numFmtId="0" fontId="19" fillId="27" borderId="36" xfId="0" applyFont="1" applyFill="1" applyBorder="1" applyAlignment="1">
      <alignment horizontal="center" vertical="center"/>
    </xf>
    <xf numFmtId="0" fontId="19" fillId="11" borderId="25" xfId="0" applyFont="1" applyFill="1" applyBorder="1" applyAlignment="1">
      <alignment horizontal="center"/>
    </xf>
    <xf numFmtId="0" fontId="19" fillId="11" borderId="1" xfId="0" applyFont="1" applyFill="1" applyBorder="1" applyAlignment="1">
      <alignment horizontal="center" vertical="center"/>
    </xf>
    <xf numFmtId="0" fontId="19" fillId="17" borderId="36" xfId="0" applyFont="1" applyFill="1" applyBorder="1" applyAlignment="1">
      <alignment horizontal="center" vertical="center"/>
    </xf>
    <xf numFmtId="0" fontId="19" fillId="28" borderId="21" xfId="0" applyFont="1" applyFill="1" applyBorder="1" applyAlignment="1">
      <alignment horizontal="center"/>
    </xf>
    <xf numFmtId="0" fontId="19" fillId="28" borderId="1" xfId="0" applyFont="1" applyFill="1" applyBorder="1" applyAlignment="1">
      <alignment horizontal="center" vertical="center"/>
    </xf>
    <xf numFmtId="0" fontId="19" fillId="28" borderId="12" xfId="0" applyFont="1" applyFill="1" applyBorder="1" applyAlignment="1">
      <alignment horizontal="center" vertical="center"/>
    </xf>
    <xf numFmtId="0" fontId="19" fillId="28" borderId="57" xfId="0" applyFont="1" applyFill="1" applyBorder="1" applyAlignment="1">
      <alignment horizontal="center" vertical="center"/>
    </xf>
    <xf numFmtId="0" fontId="19" fillId="13" borderId="57" xfId="0" applyFont="1" applyFill="1" applyBorder="1" applyAlignment="1">
      <alignment horizontal="center" vertical="center"/>
    </xf>
    <xf numFmtId="0" fontId="19" fillId="25" borderId="57" xfId="0" applyFont="1" applyFill="1" applyBorder="1" applyAlignment="1">
      <alignment horizontal="center" vertical="center"/>
    </xf>
    <xf numFmtId="0" fontId="19" fillId="25" borderId="13" xfId="0" applyFont="1" applyFill="1" applyBorder="1" applyAlignment="1">
      <alignment horizontal="center" vertical="center"/>
    </xf>
    <xf numFmtId="0" fontId="62" fillId="0" borderId="162" xfId="0" applyFont="1" applyBorder="1"/>
    <xf numFmtId="0" fontId="0" fillId="0" borderId="169" xfId="0" applyBorder="1"/>
    <xf numFmtId="0" fontId="0" fillId="0" borderId="170" xfId="0" applyBorder="1"/>
    <xf numFmtId="0" fontId="20" fillId="7" borderId="21" xfId="0" applyFont="1" applyFill="1" applyBorder="1" applyAlignment="1">
      <alignment horizontal="center" vertical="center"/>
    </xf>
    <xf numFmtId="0" fontId="20" fillId="7" borderId="33" xfId="0" applyFont="1" applyFill="1" applyBorder="1" applyAlignment="1">
      <alignment horizontal="center" vertical="center"/>
    </xf>
    <xf numFmtId="0" fontId="20" fillId="7" borderId="32" xfId="0" applyFont="1" applyFill="1" applyBorder="1" applyAlignment="1">
      <alignment horizontal="center" vertical="center"/>
    </xf>
    <xf numFmtId="0" fontId="1" fillId="13" borderId="35" xfId="0" applyFont="1" applyFill="1" applyBorder="1" applyAlignment="1">
      <alignment horizontal="center" vertical="center"/>
    </xf>
    <xf numFmtId="0" fontId="1" fillId="7" borderId="36" xfId="0" applyFont="1" applyFill="1" applyBorder="1" applyAlignment="1">
      <alignment horizontal="center" vertical="center"/>
    </xf>
    <xf numFmtId="0" fontId="1" fillId="13" borderId="49" xfId="0" applyFont="1" applyFill="1" applyBorder="1" applyAlignment="1">
      <alignment horizontal="center" vertical="center"/>
    </xf>
    <xf numFmtId="0" fontId="1" fillId="11" borderId="17" xfId="0" applyFont="1" applyFill="1" applyBorder="1" applyAlignment="1">
      <alignment horizontal="center" vertical="center"/>
    </xf>
    <xf numFmtId="0" fontId="1" fillId="11" borderId="35" xfId="0" applyFont="1" applyFill="1" applyBorder="1" applyAlignment="1">
      <alignment horizontal="center" vertical="center"/>
    </xf>
    <xf numFmtId="0" fontId="1" fillId="11" borderId="57" xfId="0" applyFont="1" applyFill="1" applyBorder="1" applyAlignment="1">
      <alignment horizontal="center" vertical="center"/>
    </xf>
    <xf numFmtId="0" fontId="1" fillId="18" borderId="13" xfId="0" applyFont="1" applyFill="1" applyBorder="1" applyAlignment="1">
      <alignment horizontal="center" vertical="center"/>
    </xf>
    <xf numFmtId="0" fontId="1" fillId="22" borderId="0" xfId="0" applyFont="1" applyFill="1" applyAlignment="1">
      <alignment horizontal="center" vertical="center"/>
    </xf>
    <xf numFmtId="0" fontId="19" fillId="0" borderId="65" xfId="0" applyFont="1" applyBorder="1" applyAlignment="1">
      <alignment horizontal="center" vertical="center"/>
    </xf>
    <xf numFmtId="0" fontId="19" fillId="0" borderId="12" xfId="0" applyFont="1" applyBorder="1" applyAlignment="1">
      <alignment horizontal="center"/>
    </xf>
    <xf numFmtId="0" fontId="20" fillId="36" borderId="150" xfId="0" applyFont="1" applyFill="1" applyBorder="1"/>
    <xf numFmtId="0" fontId="0" fillId="36" borderId="151" xfId="0" applyFill="1" applyBorder="1"/>
    <xf numFmtId="0" fontId="0" fillId="36" borderId="151" xfId="0" applyFill="1" applyBorder="1" applyAlignment="1">
      <alignment vertical="top"/>
    </xf>
    <xf numFmtId="0" fontId="20" fillId="36" borderId="151" xfId="0" applyFont="1" applyFill="1" applyBorder="1" applyAlignment="1">
      <alignment horizontal="left" vertical="top"/>
    </xf>
    <xf numFmtId="0" fontId="20" fillId="36" borderId="151" xfId="0" applyFont="1" applyFill="1" applyBorder="1"/>
    <xf numFmtId="0" fontId="20" fillId="0" borderId="1" xfId="0" applyFont="1" applyBorder="1"/>
    <xf numFmtId="0" fontId="20" fillId="0" borderId="6" xfId="0" applyFont="1" applyBorder="1"/>
    <xf numFmtId="0" fontId="67" fillId="0" borderId="0" xfId="0" applyFont="1" applyAlignment="1">
      <alignment vertical="center"/>
    </xf>
    <xf numFmtId="0" fontId="68" fillId="0" borderId="0" xfId="0" applyFont="1" applyAlignment="1">
      <alignment vertical="center"/>
    </xf>
    <xf numFmtId="0" fontId="69" fillId="0" borderId="0" xfId="0" applyFont="1" applyAlignment="1">
      <alignment vertical="center"/>
    </xf>
    <xf numFmtId="0" fontId="20" fillId="7" borderId="139" xfId="0" applyFont="1" applyFill="1" applyBorder="1"/>
    <xf numFmtId="0" fontId="20" fillId="7" borderId="10" xfId="0" applyFont="1" applyFill="1" applyBorder="1"/>
    <xf numFmtId="0" fontId="20" fillId="7" borderId="4" xfId="0" applyFont="1" applyFill="1" applyBorder="1"/>
    <xf numFmtId="0" fontId="20" fillId="5" borderId="10" xfId="0" applyFont="1" applyFill="1" applyBorder="1"/>
    <xf numFmtId="0" fontId="20" fillId="5" borderId="139" xfId="0" applyFont="1" applyFill="1" applyBorder="1"/>
    <xf numFmtId="0" fontId="20" fillId="2" borderId="9" xfId="0" applyFont="1" applyFill="1" applyBorder="1"/>
    <xf numFmtId="0" fontId="20" fillId="2" borderId="174" xfId="0" applyFont="1" applyFill="1" applyBorder="1"/>
    <xf numFmtId="0" fontId="20" fillId="2" borderId="25" xfId="0" applyFont="1" applyFill="1" applyBorder="1"/>
    <xf numFmtId="0" fontId="51" fillId="0" borderId="173" xfId="0" applyFont="1" applyBorder="1" applyAlignment="1">
      <alignment horizontal="right"/>
    </xf>
    <xf numFmtId="0" fontId="51" fillId="2" borderId="9" xfId="0" applyFont="1" applyFill="1" applyBorder="1"/>
    <xf numFmtId="0" fontId="20" fillId="14" borderId="139" xfId="0" applyFont="1" applyFill="1" applyBorder="1"/>
    <xf numFmtId="0" fontId="20" fillId="4" borderId="139" xfId="0" applyFont="1" applyFill="1" applyBorder="1"/>
    <xf numFmtId="0" fontId="20" fillId="6" borderId="10" xfId="0" applyFont="1" applyFill="1" applyBorder="1"/>
    <xf numFmtId="0" fontId="20" fillId="12" borderId="174" xfId="0" applyFont="1" applyFill="1" applyBorder="1"/>
    <xf numFmtId="0" fontId="20" fillId="2" borderId="139" xfId="0" applyFont="1" applyFill="1" applyBorder="1"/>
    <xf numFmtId="0" fontId="20" fillId="27" borderId="139" xfId="0" applyFont="1" applyFill="1" applyBorder="1"/>
    <xf numFmtId="0" fontId="51" fillId="27" borderId="136" xfId="0" applyFont="1" applyFill="1" applyBorder="1"/>
    <xf numFmtId="0" fontId="20" fillId="12" borderId="25" xfId="0" applyFont="1" applyFill="1" applyBorder="1"/>
    <xf numFmtId="0" fontId="20" fillId="28" borderId="4" xfId="0" applyFont="1" applyFill="1" applyBorder="1"/>
    <xf numFmtId="0" fontId="20" fillId="0" borderId="5" xfId="0" applyFont="1" applyBorder="1"/>
    <xf numFmtId="0" fontId="20" fillId="12" borderId="26" xfId="0" applyFont="1" applyFill="1" applyBorder="1"/>
    <xf numFmtId="0" fontId="20" fillId="27" borderId="173" xfId="0" applyFont="1" applyFill="1" applyBorder="1"/>
    <xf numFmtId="0" fontId="20" fillId="28" borderId="172" xfId="0" applyFont="1" applyFill="1" applyBorder="1"/>
    <xf numFmtId="0" fontId="20" fillId="27" borderId="28" xfId="0" applyFont="1" applyFill="1" applyBorder="1"/>
    <xf numFmtId="0" fontId="20" fillId="5" borderId="28" xfId="0" applyFont="1" applyFill="1" applyBorder="1"/>
    <xf numFmtId="0" fontId="20" fillId="12" borderId="6" xfId="0" applyFont="1" applyFill="1" applyBorder="1"/>
    <xf numFmtId="0" fontId="51" fillId="0" borderId="139" xfId="0" applyFont="1" applyBorder="1" applyAlignment="1">
      <alignment horizontal="right"/>
    </xf>
    <xf numFmtId="0" fontId="20" fillId="27" borderId="175" xfId="0" applyFont="1" applyFill="1" applyBorder="1"/>
    <xf numFmtId="0" fontId="20" fillId="27" borderId="14" xfId="0" applyFont="1" applyFill="1" applyBorder="1"/>
    <xf numFmtId="0" fontId="20" fillId="5" borderId="14" xfId="0" applyFont="1" applyFill="1" applyBorder="1"/>
    <xf numFmtId="0" fontId="20" fillId="27" borderId="138" xfId="0" applyFont="1" applyFill="1" applyBorder="1"/>
    <xf numFmtId="0" fontId="20" fillId="12" borderId="178" xfId="0" applyFont="1" applyFill="1" applyBorder="1"/>
    <xf numFmtId="0" fontId="20" fillId="27" borderId="30" xfId="0" applyFont="1" applyFill="1" applyBorder="1"/>
    <xf numFmtId="0" fontId="20" fillId="2" borderId="178" xfId="0" applyFont="1" applyFill="1" applyBorder="1"/>
    <xf numFmtId="0" fontId="20" fillId="5" borderId="30" xfId="0" applyFont="1" applyFill="1" applyBorder="1"/>
    <xf numFmtId="0" fontId="20" fillId="0" borderId="7" xfId="0" applyFont="1" applyBorder="1"/>
    <xf numFmtId="0" fontId="20" fillId="4" borderId="173" xfId="0" applyFont="1" applyFill="1" applyBorder="1"/>
    <xf numFmtId="0" fontId="20" fillId="2" borderId="172" xfId="0" applyFont="1" applyFill="1" applyBorder="1"/>
    <xf numFmtId="0" fontId="20" fillId="14" borderId="70" xfId="0" applyFont="1" applyFill="1" applyBorder="1"/>
    <xf numFmtId="0" fontId="20" fillId="6" borderId="173" xfId="0" applyFont="1" applyFill="1" applyBorder="1"/>
    <xf numFmtId="0" fontId="20" fillId="12" borderId="172" xfId="0" applyFont="1" applyFill="1" applyBorder="1"/>
    <xf numFmtId="0" fontId="20" fillId="4" borderId="28" xfId="0" applyFont="1" applyFill="1" applyBorder="1"/>
    <xf numFmtId="0" fontId="20" fillId="27" borderId="179" xfId="0" applyFont="1" applyFill="1" applyBorder="1"/>
    <xf numFmtId="0" fontId="20" fillId="28" borderId="159" xfId="0" applyFont="1" applyFill="1" applyBorder="1"/>
    <xf numFmtId="0" fontId="20" fillId="27" borderId="32" xfId="0" applyFont="1" applyFill="1" applyBorder="1"/>
    <xf numFmtId="0" fontId="20" fillId="2" borderId="159" xfId="0" applyFont="1" applyFill="1" applyBorder="1"/>
    <xf numFmtId="0" fontId="20" fillId="5" borderId="32" xfId="0" applyFont="1" applyFill="1" applyBorder="1"/>
    <xf numFmtId="0" fontId="20" fillId="12" borderId="29" xfId="0" applyFont="1" applyFill="1" applyBorder="1"/>
    <xf numFmtId="0" fontId="20" fillId="28" borderId="21" xfId="0" applyFont="1" applyFill="1" applyBorder="1"/>
    <xf numFmtId="0" fontId="20" fillId="14" borderId="138" xfId="0" applyFont="1" applyFill="1" applyBorder="1"/>
    <xf numFmtId="0" fontId="20" fillId="14" borderId="173" xfId="0" applyFont="1" applyFill="1" applyBorder="1"/>
    <xf numFmtId="0" fontId="20" fillId="3" borderId="179" xfId="0" applyFont="1" applyFill="1" applyBorder="1"/>
    <xf numFmtId="0" fontId="20" fillId="0" borderId="6" xfId="0" applyFont="1" applyBorder="1" applyAlignment="1">
      <alignment horizontal="center" vertical="center"/>
    </xf>
    <xf numFmtId="0" fontId="20" fillId="0" borderId="5" xfId="0" applyFont="1" applyBorder="1" applyAlignment="1">
      <alignment horizontal="center" vertical="center"/>
    </xf>
    <xf numFmtId="0" fontId="20" fillId="2" borderId="136" xfId="0" applyFont="1" applyFill="1" applyBorder="1"/>
    <xf numFmtId="0" fontId="20" fillId="2" borderId="4" xfId="0" applyFont="1" applyFill="1" applyBorder="1"/>
    <xf numFmtId="0" fontId="20" fillId="2" borderId="5" xfId="0" applyFont="1" applyFill="1" applyBorder="1" applyAlignment="1">
      <alignment horizontal="center" vertical="center"/>
    </xf>
    <xf numFmtId="0" fontId="20" fillId="2" borderId="5" xfId="0" applyFont="1" applyFill="1" applyBorder="1"/>
    <xf numFmtId="0" fontId="20" fillId="2" borderId="26" xfId="0" applyFont="1" applyFill="1" applyBorder="1"/>
    <xf numFmtId="0" fontId="20" fillId="2" borderId="173" xfId="0" applyFont="1" applyFill="1" applyBorder="1"/>
    <xf numFmtId="0" fontId="20" fillId="2" borderId="6" xfId="0" applyFont="1" applyFill="1" applyBorder="1"/>
    <xf numFmtId="0" fontId="20" fillId="28" borderId="177" xfId="0" applyFont="1" applyFill="1" applyBorder="1"/>
    <xf numFmtId="0" fontId="20" fillId="28" borderId="3" xfId="0" applyFont="1" applyFill="1" applyBorder="1"/>
    <xf numFmtId="0" fontId="20" fillId="12" borderId="175" xfId="0" applyFont="1" applyFill="1" applyBorder="1"/>
    <xf numFmtId="0" fontId="20" fillId="0" borderId="41" xfId="0" applyFont="1" applyBorder="1"/>
    <xf numFmtId="0" fontId="20" fillId="12" borderId="8" xfId="0" applyFont="1" applyFill="1" applyBorder="1" applyAlignment="1">
      <alignment horizontal="center" vertical="center"/>
    </xf>
    <xf numFmtId="0" fontId="20" fillId="28" borderId="26" xfId="0" applyFont="1" applyFill="1" applyBorder="1"/>
    <xf numFmtId="0" fontId="20" fillId="12" borderId="173" xfId="0" applyFont="1" applyFill="1" applyBorder="1"/>
    <xf numFmtId="0" fontId="20" fillId="12" borderId="181" xfId="0" applyFont="1" applyFill="1" applyBorder="1"/>
    <xf numFmtId="0" fontId="20" fillId="14" borderId="8" xfId="0" applyFont="1" applyFill="1" applyBorder="1" applyAlignment="1">
      <alignment horizontal="center" vertical="center"/>
    </xf>
    <xf numFmtId="0" fontId="20" fillId="14" borderId="6" xfId="0" applyFont="1" applyFill="1" applyBorder="1" applyAlignment="1">
      <alignment horizontal="center" vertical="center"/>
    </xf>
    <xf numFmtId="0" fontId="51" fillId="4" borderId="6" xfId="0" applyFont="1" applyFill="1" applyBorder="1" applyAlignment="1">
      <alignment horizontal="center" vertical="center"/>
    </xf>
    <xf numFmtId="0" fontId="71" fillId="2" borderId="5" xfId="0" applyFont="1" applyFill="1" applyBorder="1" applyAlignment="1">
      <alignment horizontal="center" vertical="center"/>
    </xf>
    <xf numFmtId="0" fontId="71" fillId="12" borderId="6" xfId="0" applyFont="1" applyFill="1" applyBorder="1" applyAlignment="1">
      <alignment horizontal="center" vertical="center"/>
    </xf>
    <xf numFmtId="0" fontId="20" fillId="6" borderId="28" xfId="0" applyFont="1" applyFill="1" applyBorder="1"/>
    <xf numFmtId="0" fontId="20" fillId="2" borderId="24" xfId="0" applyFont="1" applyFill="1" applyBorder="1"/>
    <xf numFmtId="0" fontId="20" fillId="2" borderId="23" xfId="0" applyFont="1" applyFill="1" applyBorder="1"/>
    <xf numFmtId="0" fontId="20" fillId="2" borderId="27" xfId="0" applyFont="1" applyFill="1" applyBorder="1"/>
    <xf numFmtId="0" fontId="20" fillId="14" borderId="44" xfId="0" applyFont="1" applyFill="1" applyBorder="1"/>
    <xf numFmtId="0" fontId="20" fillId="14" borderId="23" xfId="0" applyFont="1" applyFill="1" applyBorder="1"/>
    <xf numFmtId="0" fontId="20" fillId="14" borderId="27" xfId="0" applyFont="1" applyFill="1" applyBorder="1"/>
    <xf numFmtId="0" fontId="20" fillId="3" borderId="34" xfId="0" applyFont="1" applyFill="1" applyBorder="1"/>
    <xf numFmtId="0" fontId="20" fillId="12" borderId="183" xfId="0" applyFont="1" applyFill="1" applyBorder="1"/>
    <xf numFmtId="0" fontId="20" fillId="12" borderId="42" xfId="0" applyFont="1" applyFill="1" applyBorder="1"/>
    <xf numFmtId="0" fontId="20" fillId="3" borderId="42" xfId="0" applyFont="1" applyFill="1" applyBorder="1"/>
    <xf numFmtId="0" fontId="20" fillId="0" borderId="4" xfId="0" applyFont="1" applyBorder="1" applyAlignment="1">
      <alignment horizontal="center" vertical="center"/>
    </xf>
    <xf numFmtId="0" fontId="20" fillId="14" borderId="3" xfId="0" applyFont="1" applyFill="1" applyBorder="1"/>
    <xf numFmtId="0" fontId="20" fillId="14" borderId="26" xfId="0" applyFont="1" applyFill="1" applyBorder="1"/>
    <xf numFmtId="0" fontId="20" fillId="14" borderId="175" xfId="0" applyFont="1" applyFill="1" applyBorder="1"/>
    <xf numFmtId="0" fontId="20" fillId="3" borderId="173" xfId="0" applyFont="1" applyFill="1" applyBorder="1"/>
    <xf numFmtId="0" fontId="19" fillId="0" borderId="0" xfId="0" applyFont="1" applyAlignment="1">
      <alignment horizontal="right" vertical="center"/>
    </xf>
    <xf numFmtId="0" fontId="72" fillId="0" borderId="0" xfId="0" applyFont="1"/>
    <xf numFmtId="0" fontId="20" fillId="18" borderId="1" xfId="0" applyFont="1" applyFill="1" applyBorder="1" applyAlignment="1">
      <alignment horizontal="center" vertical="center"/>
    </xf>
    <xf numFmtId="0" fontId="20" fillId="13" borderId="35" xfId="0" applyFont="1" applyFill="1" applyBorder="1" applyAlignment="1">
      <alignment horizontal="center" vertical="center"/>
    </xf>
    <xf numFmtId="0" fontId="20" fillId="17" borderId="51" xfId="0" applyFont="1" applyFill="1" applyBorder="1" applyAlignment="1">
      <alignment horizontal="center" vertical="center"/>
    </xf>
    <xf numFmtId="0" fontId="20" fillId="18" borderId="18" xfId="0" applyFont="1" applyFill="1" applyBorder="1" applyAlignment="1">
      <alignment horizontal="center" vertical="center"/>
    </xf>
    <xf numFmtId="0" fontId="20" fillId="27" borderId="1" xfId="0" applyFont="1" applyFill="1" applyBorder="1" applyAlignment="1">
      <alignment horizontal="center" vertical="center"/>
    </xf>
    <xf numFmtId="0" fontId="20" fillId="25" borderId="35" xfId="0" applyFont="1" applyFill="1" applyBorder="1" applyAlignment="1">
      <alignment horizontal="center" vertical="center"/>
    </xf>
    <xf numFmtId="0" fontId="20" fillId="17" borderId="49" xfId="0" applyFont="1" applyFill="1" applyBorder="1" applyAlignment="1">
      <alignment horizontal="center" vertical="center"/>
    </xf>
    <xf numFmtId="0" fontId="20" fillId="11" borderId="1" xfId="0" applyFont="1" applyFill="1" applyBorder="1" applyAlignment="1">
      <alignment horizontal="center" vertical="center"/>
    </xf>
    <xf numFmtId="0" fontId="20" fillId="17" borderId="36" xfId="0" applyFont="1" applyFill="1" applyBorder="1" applyAlignment="1">
      <alignment horizontal="center" vertical="center"/>
    </xf>
    <xf numFmtId="0" fontId="20" fillId="28" borderId="12" xfId="0" applyFont="1" applyFill="1" applyBorder="1" applyAlignment="1">
      <alignment horizontal="center" vertical="center"/>
    </xf>
    <xf numFmtId="0" fontId="20" fillId="25" borderId="13" xfId="0" applyFont="1" applyFill="1" applyBorder="1" applyAlignment="1">
      <alignment horizontal="center" vertical="center"/>
    </xf>
    <xf numFmtId="0" fontId="20" fillId="13" borderId="17" xfId="0" applyFont="1" applyFill="1" applyBorder="1" applyAlignment="1">
      <alignment horizontal="center" vertical="center"/>
    </xf>
    <xf numFmtId="0" fontId="20" fillId="27" borderId="18" xfId="0" applyFont="1" applyFill="1" applyBorder="1" applyAlignment="1">
      <alignment horizontal="center" vertical="center"/>
    </xf>
    <xf numFmtId="0" fontId="20" fillId="18" borderId="10" xfId="0" applyFont="1" applyFill="1" applyBorder="1" applyAlignment="1">
      <alignment horizontal="center" vertical="center"/>
    </xf>
    <xf numFmtId="0" fontId="20" fillId="27" borderId="10" xfId="0" applyFont="1" applyFill="1" applyBorder="1" applyAlignment="1">
      <alignment horizontal="center" vertical="center"/>
    </xf>
    <xf numFmtId="0" fontId="20" fillId="25" borderId="12" xfId="0" applyFont="1" applyFill="1" applyBorder="1" applyAlignment="1">
      <alignment horizontal="center" vertical="center"/>
    </xf>
    <xf numFmtId="0" fontId="20" fillId="13" borderId="57" xfId="0" applyFont="1" applyFill="1" applyBorder="1" applyAlignment="1">
      <alignment horizontal="center" vertical="center"/>
    </xf>
    <xf numFmtId="0" fontId="20" fillId="13" borderId="13" xfId="0" applyFont="1" applyFill="1" applyBorder="1" applyAlignment="1">
      <alignment horizontal="center" vertical="center"/>
    </xf>
    <xf numFmtId="0" fontId="20" fillId="17" borderId="10" xfId="0" applyFont="1" applyFill="1" applyBorder="1" applyAlignment="1">
      <alignment horizontal="center" vertical="center"/>
    </xf>
    <xf numFmtId="0" fontId="20" fillId="28" borderId="64" xfId="0" applyFont="1" applyFill="1" applyBorder="1" applyAlignment="1">
      <alignment horizontal="center" vertical="center"/>
    </xf>
    <xf numFmtId="0" fontId="20" fillId="13" borderId="64" xfId="0" applyFont="1" applyFill="1" applyBorder="1" applyAlignment="1">
      <alignment horizontal="center" vertical="center"/>
    </xf>
    <xf numFmtId="0" fontId="20" fillId="25" borderId="64" xfId="0" applyFont="1" applyFill="1" applyBorder="1" applyAlignment="1">
      <alignment horizontal="center" vertical="center"/>
    </xf>
    <xf numFmtId="0" fontId="20" fillId="28" borderId="41" xfId="0" applyFont="1" applyFill="1" applyBorder="1" applyAlignment="1">
      <alignment horizontal="center" vertical="center"/>
    </xf>
    <xf numFmtId="0" fontId="20" fillId="11" borderId="41" xfId="0" applyFont="1" applyFill="1" applyBorder="1" applyAlignment="1">
      <alignment horizontal="center" vertical="center"/>
    </xf>
    <xf numFmtId="0" fontId="20" fillId="17" borderId="41" xfId="0" applyFont="1" applyFill="1" applyBorder="1" applyAlignment="1">
      <alignment horizontal="center" vertical="center"/>
    </xf>
    <xf numFmtId="0" fontId="20" fillId="27" borderId="41" xfId="0" applyFont="1" applyFill="1" applyBorder="1" applyAlignment="1">
      <alignment horizontal="center" vertical="center"/>
    </xf>
    <xf numFmtId="0" fontId="20" fillId="18" borderId="41" xfId="0" applyFont="1" applyFill="1" applyBorder="1" applyAlignment="1">
      <alignment horizontal="center" vertical="center"/>
    </xf>
    <xf numFmtId="0" fontId="20" fillId="28" borderId="133" xfId="0" applyFont="1" applyFill="1" applyBorder="1" applyAlignment="1">
      <alignment horizontal="center" vertical="center"/>
    </xf>
    <xf numFmtId="0" fontId="20" fillId="11" borderId="133" xfId="0" applyFont="1" applyFill="1" applyBorder="1" applyAlignment="1">
      <alignment horizontal="center" vertical="center"/>
    </xf>
    <xf numFmtId="0" fontId="20" fillId="17" borderId="133" xfId="0" applyFont="1" applyFill="1" applyBorder="1" applyAlignment="1">
      <alignment horizontal="center" vertical="center"/>
    </xf>
    <xf numFmtId="0" fontId="20" fillId="27" borderId="133" xfId="0" applyFont="1" applyFill="1" applyBorder="1" applyAlignment="1">
      <alignment horizontal="center" vertical="center"/>
    </xf>
    <xf numFmtId="0" fontId="20" fillId="18" borderId="133" xfId="0" applyFont="1" applyFill="1" applyBorder="1" applyAlignment="1">
      <alignment horizontal="center" vertical="center"/>
    </xf>
    <xf numFmtId="0" fontId="20" fillId="13" borderId="25" xfId="0" applyFont="1" applyFill="1" applyBorder="1" applyAlignment="1">
      <alignment horizontal="center" vertical="center"/>
    </xf>
    <xf numFmtId="0" fontId="20" fillId="13" borderId="59" xfId="0" applyFont="1" applyFill="1" applyBorder="1" applyAlignment="1">
      <alignment horizontal="center" vertical="center"/>
    </xf>
    <xf numFmtId="0" fontId="20" fillId="17" borderId="59" xfId="0" applyFont="1" applyFill="1" applyBorder="1" applyAlignment="1">
      <alignment horizontal="center" vertical="center"/>
    </xf>
    <xf numFmtId="0" fontId="20" fillId="27" borderId="59" xfId="0" applyFont="1" applyFill="1" applyBorder="1" applyAlignment="1">
      <alignment horizontal="center" vertical="center"/>
    </xf>
    <xf numFmtId="0" fontId="20" fillId="25" borderId="25" xfId="0" applyFont="1" applyFill="1" applyBorder="1" applyAlignment="1">
      <alignment horizontal="center" vertical="center"/>
    </xf>
    <xf numFmtId="0" fontId="20" fillId="28" borderId="25" xfId="0" applyFont="1" applyFill="1" applyBorder="1" applyAlignment="1">
      <alignment horizontal="center" vertical="center"/>
    </xf>
    <xf numFmtId="0" fontId="20" fillId="7" borderId="10" xfId="0" applyFont="1" applyFill="1" applyBorder="1" applyAlignment="1">
      <alignment horizontal="center" vertical="center"/>
    </xf>
    <xf numFmtId="0" fontId="20" fillId="18" borderId="59" xfId="0" applyFont="1" applyFill="1" applyBorder="1" applyAlignment="1">
      <alignment horizontal="center" vertical="center"/>
    </xf>
    <xf numFmtId="0" fontId="20" fillId="17" borderId="17" xfId="0" applyFont="1" applyFill="1" applyBorder="1" applyAlignment="1">
      <alignment horizontal="center" vertical="center"/>
    </xf>
    <xf numFmtId="0" fontId="20" fillId="17" borderId="13" xfId="0" applyFont="1" applyFill="1" applyBorder="1" applyAlignment="1">
      <alignment horizontal="center" vertical="center"/>
    </xf>
    <xf numFmtId="49" fontId="73" fillId="28" borderId="7" xfId="0" applyNumberFormat="1" applyFont="1" applyFill="1" applyBorder="1"/>
    <xf numFmtId="0" fontId="26" fillId="0" borderId="107" xfId="0" applyFont="1" applyBorder="1"/>
    <xf numFmtId="0" fontId="26" fillId="0" borderId="108" xfId="0" applyFont="1" applyBorder="1"/>
    <xf numFmtId="49" fontId="73" fillId="11" borderId="5" xfId="0" applyNumberFormat="1" applyFont="1" applyFill="1" applyBorder="1"/>
    <xf numFmtId="0" fontId="26" fillId="0" borderId="105" xfId="0" applyFont="1" applyBorder="1"/>
    <xf numFmtId="0" fontId="26" fillId="0" borderId="106" xfId="0" applyFont="1" applyBorder="1"/>
    <xf numFmtId="49" fontId="73" fillId="17" borderId="5" xfId="0" applyNumberFormat="1" applyFont="1" applyFill="1" applyBorder="1"/>
    <xf numFmtId="0" fontId="26" fillId="7" borderId="105" xfId="0" applyFont="1" applyFill="1" applyBorder="1"/>
    <xf numFmtId="49" fontId="73" fillId="27" borderId="5" xfId="0" applyNumberFormat="1" applyFont="1" applyFill="1" applyBorder="1"/>
    <xf numFmtId="49" fontId="73" fillId="18" borderId="1" xfId="0" applyNumberFormat="1" applyFont="1" applyFill="1" applyBorder="1"/>
    <xf numFmtId="0" fontId="26" fillId="5" borderId="0" xfId="0" applyFont="1" applyFill="1"/>
    <xf numFmtId="0" fontId="26" fillId="5" borderId="14" xfId="0" applyFont="1" applyFill="1" applyBorder="1"/>
    <xf numFmtId="0" fontId="26" fillId="6" borderId="108" xfId="0" applyFont="1" applyFill="1" applyBorder="1"/>
    <xf numFmtId="0" fontId="26" fillId="6" borderId="109" xfId="0" applyFont="1" applyFill="1" applyBorder="1"/>
    <xf numFmtId="0" fontId="26" fillId="6" borderId="105" xfId="0" applyFont="1" applyFill="1" applyBorder="1"/>
    <xf numFmtId="0" fontId="26" fillId="6" borderId="104" xfId="0" applyFont="1" applyFill="1" applyBorder="1"/>
    <xf numFmtId="0" fontId="26" fillId="8" borderId="105" xfId="0" applyFont="1" applyFill="1" applyBorder="1"/>
    <xf numFmtId="0" fontId="26" fillId="8" borderId="104" xfId="0" applyFont="1" applyFill="1" applyBorder="1"/>
    <xf numFmtId="0" fontId="26" fillId="8" borderId="108" xfId="0" applyFont="1" applyFill="1" applyBorder="1"/>
    <xf numFmtId="0" fontId="26" fillId="8" borderId="107" xfId="0" applyFont="1" applyFill="1" applyBorder="1"/>
    <xf numFmtId="0" fontId="26" fillId="6" borderId="107" xfId="0" applyFont="1" applyFill="1" applyBorder="1"/>
    <xf numFmtId="0" fontId="74" fillId="10" borderId="1" xfId="0" applyFont="1" applyFill="1" applyBorder="1" applyAlignment="1">
      <alignment horizontal="center" vertical="center" wrapText="1"/>
    </xf>
    <xf numFmtId="0" fontId="20" fillId="11" borderId="35" xfId="0" applyFont="1" applyFill="1" applyBorder="1" applyAlignment="1">
      <alignment horizontal="center" vertical="center"/>
    </xf>
    <xf numFmtId="0" fontId="20" fillId="11" borderId="57" xfId="0" applyFont="1" applyFill="1" applyBorder="1" applyAlignment="1">
      <alignment horizontal="center" vertical="center"/>
    </xf>
    <xf numFmtId="0" fontId="20" fillId="11" borderId="59" xfId="0" applyFont="1" applyFill="1" applyBorder="1" applyAlignment="1">
      <alignment horizontal="center" vertical="center"/>
    </xf>
    <xf numFmtId="0" fontId="20" fillId="11" borderId="17" xfId="0" applyFont="1" applyFill="1" applyBorder="1" applyAlignment="1">
      <alignment horizontal="center" vertical="center"/>
    </xf>
    <xf numFmtId="0" fontId="20" fillId="11" borderId="13" xfId="0" applyFont="1" applyFill="1" applyBorder="1" applyAlignment="1">
      <alignment horizontal="center" vertical="center"/>
    </xf>
    <xf numFmtId="0" fontId="20" fillId="28" borderId="35" xfId="0" applyFont="1" applyFill="1" applyBorder="1" applyAlignment="1">
      <alignment horizontal="center" vertical="center"/>
    </xf>
    <xf numFmtId="0" fontId="23" fillId="18" borderId="7" xfId="0" applyFont="1" applyFill="1" applyBorder="1" applyAlignment="1">
      <alignment horizontal="center" vertical="center"/>
    </xf>
    <xf numFmtId="0" fontId="20" fillId="10" borderId="22" xfId="0" applyFont="1" applyFill="1" applyBorder="1" applyAlignment="1">
      <alignment horizontal="center" vertical="center"/>
    </xf>
    <xf numFmtId="0" fontId="20" fillId="12" borderId="22" xfId="0" applyFont="1" applyFill="1" applyBorder="1" applyAlignment="1">
      <alignment horizontal="center" vertical="center"/>
    </xf>
    <xf numFmtId="0" fontId="20" fillId="12" borderId="41" xfId="0" applyFont="1" applyFill="1" applyBorder="1" applyAlignment="1">
      <alignment horizontal="center" vertical="center"/>
    </xf>
    <xf numFmtId="0" fontId="20" fillId="8" borderId="1" xfId="0" applyFont="1" applyFill="1" applyBorder="1" applyAlignment="1">
      <alignment horizontal="center" vertical="center"/>
    </xf>
    <xf numFmtId="0" fontId="20" fillId="12" borderId="1" xfId="0" applyFont="1" applyFill="1" applyBorder="1" applyAlignment="1">
      <alignment horizontal="center" vertical="center"/>
    </xf>
    <xf numFmtId="0" fontId="20" fillId="16" borderId="37" xfId="0" applyFont="1" applyFill="1" applyBorder="1" applyAlignment="1">
      <alignment horizontal="center" vertical="center"/>
    </xf>
    <xf numFmtId="0" fontId="20" fillId="4" borderId="14" xfId="0" applyFont="1" applyFill="1" applyBorder="1" applyAlignment="1">
      <alignment horizontal="center" vertical="center"/>
    </xf>
    <xf numFmtId="0" fontId="20" fillId="4" borderId="80" xfId="0" applyFont="1" applyFill="1" applyBorder="1" applyAlignment="1">
      <alignment horizontal="center" vertical="center"/>
    </xf>
    <xf numFmtId="0" fontId="20" fillId="16" borderId="47" xfId="0" applyFont="1" applyFill="1" applyBorder="1" applyAlignment="1">
      <alignment horizontal="center" vertical="center"/>
    </xf>
    <xf numFmtId="0" fontId="20" fillId="16" borderId="1" xfId="0" applyFont="1" applyFill="1" applyBorder="1" applyAlignment="1">
      <alignment horizontal="center" vertical="center"/>
    </xf>
    <xf numFmtId="0" fontId="23" fillId="18" borderId="1" xfId="0" applyFont="1" applyFill="1" applyBorder="1" applyAlignment="1">
      <alignment horizontal="center" vertical="center"/>
    </xf>
    <xf numFmtId="0" fontId="51" fillId="2" borderId="2" xfId="0" applyFont="1" applyFill="1" applyBorder="1" applyAlignment="1">
      <alignment horizontal="center" vertical="center"/>
    </xf>
    <xf numFmtId="0" fontId="20" fillId="0" borderId="37" xfId="0" applyFont="1" applyBorder="1" applyAlignment="1">
      <alignment horizontal="center" vertical="center"/>
    </xf>
    <xf numFmtId="0" fontId="20" fillId="0" borderId="14" xfId="0" applyFont="1" applyBorder="1" applyAlignment="1">
      <alignment horizontal="center" vertical="center"/>
    </xf>
    <xf numFmtId="0" fontId="23" fillId="18" borderId="21" xfId="0" applyFont="1" applyFill="1" applyBorder="1" applyAlignment="1">
      <alignment horizontal="center" vertical="center"/>
    </xf>
    <xf numFmtId="0" fontId="20" fillId="8" borderId="40" xfId="0" applyFont="1" applyFill="1" applyBorder="1" applyAlignment="1">
      <alignment horizontal="center" vertical="center"/>
    </xf>
    <xf numFmtId="0" fontId="20" fillId="17" borderId="14" xfId="0" applyFont="1" applyFill="1" applyBorder="1" applyAlignment="1">
      <alignment horizontal="center" vertical="center"/>
    </xf>
    <xf numFmtId="0" fontId="20" fillId="14" borderId="1" xfId="0" applyFont="1" applyFill="1" applyBorder="1" applyAlignment="1">
      <alignment horizontal="center" vertical="center"/>
    </xf>
    <xf numFmtId="0" fontId="20" fillId="14" borderId="41" xfId="0" applyFont="1" applyFill="1" applyBorder="1" applyAlignment="1">
      <alignment horizontal="center" vertical="center"/>
    </xf>
    <xf numFmtId="0" fontId="20" fillId="0" borderId="3" xfId="0" applyFont="1" applyBorder="1"/>
    <xf numFmtId="0" fontId="19" fillId="0" borderId="41" xfId="0" applyFont="1" applyBorder="1"/>
    <xf numFmtId="0" fontId="19" fillId="0" borderId="22" xfId="0" applyFont="1" applyBorder="1"/>
    <xf numFmtId="0" fontId="19" fillId="4" borderId="6" xfId="0" applyFont="1" applyFill="1" applyBorder="1" applyAlignment="1">
      <alignment horizontal="center" vertical="center"/>
    </xf>
    <xf numFmtId="0" fontId="19" fillId="7" borderId="1" xfId="0" applyFont="1" applyFill="1" applyBorder="1" applyAlignment="1">
      <alignment horizontal="center" vertical="center"/>
    </xf>
    <xf numFmtId="1" fontId="19" fillId="7" borderId="1" xfId="0" applyNumberFormat="1" applyFont="1" applyFill="1" applyBorder="1" applyAlignment="1">
      <alignment horizontal="center" vertical="center"/>
    </xf>
    <xf numFmtId="0" fontId="19" fillId="22" borderId="1" xfId="0" applyFont="1" applyFill="1" applyBorder="1" applyAlignment="1">
      <alignment horizontal="center" vertical="center"/>
    </xf>
    <xf numFmtId="0" fontId="0" fillId="13" borderId="184" xfId="0" applyFill="1" applyBorder="1" applyAlignment="1">
      <alignment horizontal="center" vertical="center"/>
    </xf>
    <xf numFmtId="0" fontId="1" fillId="0" borderId="0" xfId="0" quotePrefix="1" applyFont="1" applyAlignment="1">
      <alignment horizontal="right" vertical="center"/>
    </xf>
    <xf numFmtId="0" fontId="0" fillId="7" borderId="185" xfId="0" applyFill="1" applyBorder="1"/>
    <xf numFmtId="0" fontId="0" fillId="7" borderId="186" xfId="0" applyFill="1" applyBorder="1" applyAlignment="1">
      <alignment horizontal="center" vertical="center"/>
    </xf>
    <xf numFmtId="0" fontId="0" fillId="7" borderId="22" xfId="0" applyFill="1" applyBorder="1" applyAlignment="1">
      <alignment horizontal="center" vertical="center"/>
    </xf>
    <xf numFmtId="0" fontId="20" fillId="4" borderId="6" xfId="0" applyFont="1" applyFill="1" applyBorder="1" applyAlignment="1">
      <alignment horizontal="center" vertical="center"/>
    </xf>
    <xf numFmtId="0" fontId="19" fillId="0" borderId="1" xfId="0" applyFont="1" applyBorder="1" applyAlignment="1">
      <alignment horizontal="center" vertical="center"/>
    </xf>
    <xf numFmtId="0" fontId="0" fillId="0" borderId="191" xfId="0" applyBorder="1" applyAlignment="1">
      <alignment horizontal="center" vertical="center"/>
    </xf>
    <xf numFmtId="0" fontId="1" fillId="7" borderId="17" xfId="0" applyFont="1" applyFill="1" applyBorder="1"/>
    <xf numFmtId="0" fontId="1" fillId="7" borderId="51" xfId="0" applyFont="1" applyFill="1" applyBorder="1"/>
    <xf numFmtId="0" fontId="1" fillId="7" borderId="51" xfId="0" applyFont="1" applyFill="1" applyBorder="1" applyAlignment="1">
      <alignment horizontal="center" vertical="top"/>
    </xf>
    <xf numFmtId="1" fontId="1" fillId="7" borderId="51" xfId="0" applyNumberFormat="1" applyFont="1" applyFill="1" applyBorder="1" applyAlignment="1">
      <alignment horizontal="center"/>
    </xf>
    <xf numFmtId="1" fontId="1" fillId="7" borderId="18" xfId="0" applyNumberFormat="1" applyFont="1" applyFill="1" applyBorder="1" applyAlignment="1">
      <alignment horizontal="center"/>
    </xf>
    <xf numFmtId="1" fontId="1" fillId="7" borderId="18" xfId="0" applyNumberFormat="1" applyFont="1" applyFill="1" applyBorder="1" applyAlignment="1">
      <alignment horizontal="left" vertical="top"/>
    </xf>
    <xf numFmtId="0" fontId="20" fillId="10" borderId="1" xfId="0" applyFont="1" applyFill="1" applyBorder="1" applyAlignment="1">
      <alignment horizontal="center" vertical="center"/>
    </xf>
    <xf numFmtId="0" fontId="20" fillId="16" borderId="1" xfId="0" applyFont="1" applyFill="1" applyBorder="1"/>
    <xf numFmtId="0" fontId="0" fillId="0" borderId="0" xfId="0" applyAlignment="1">
      <alignment horizontal="right" vertical="center"/>
    </xf>
    <xf numFmtId="0" fontId="23" fillId="18" borderId="21" xfId="0" applyFont="1" applyFill="1" applyBorder="1" applyAlignment="1">
      <alignment horizontal="right" vertical="center"/>
    </xf>
    <xf numFmtId="0" fontId="24" fillId="18" borderId="1" xfId="0" applyFont="1" applyFill="1" applyBorder="1" applyAlignment="1">
      <alignment horizontal="right" vertical="center"/>
    </xf>
    <xf numFmtId="0" fontId="20" fillId="0" borderId="40" xfId="0" applyFont="1" applyBorder="1" applyAlignment="1">
      <alignment vertical="top"/>
    </xf>
    <xf numFmtId="0" fontId="19" fillId="0" borderId="0" xfId="0" applyFont="1" applyAlignment="1">
      <alignment vertical="center"/>
    </xf>
    <xf numFmtId="0" fontId="23" fillId="18" borderId="7" xfId="0" applyFont="1" applyFill="1" applyBorder="1" applyAlignment="1">
      <alignment horizontal="right" vertical="center"/>
    </xf>
    <xf numFmtId="0" fontId="0" fillId="7" borderId="21" xfId="0" applyFill="1" applyBorder="1" applyAlignment="1">
      <alignment horizontal="right" vertical="center"/>
    </xf>
    <xf numFmtId="0" fontId="45" fillId="4" borderId="32" xfId="0" applyFont="1" applyFill="1" applyBorder="1" applyAlignment="1">
      <alignment horizontal="right" vertical="center"/>
    </xf>
    <xf numFmtId="0" fontId="23" fillId="19" borderId="0" xfId="0" applyFont="1" applyFill="1" applyAlignment="1">
      <alignment horizontal="right" vertical="center"/>
    </xf>
    <xf numFmtId="0" fontId="76" fillId="31" borderId="11" xfId="0" applyFont="1" applyFill="1" applyBorder="1" applyAlignment="1">
      <alignment horizontal="right" vertical="center"/>
    </xf>
    <xf numFmtId="0" fontId="75" fillId="13" borderId="10" xfId="0" applyFont="1" applyFill="1" applyBorder="1" applyAlignment="1">
      <alignment horizontal="right" vertical="center"/>
    </xf>
    <xf numFmtId="0" fontId="76" fillId="31" borderId="4" xfId="0" applyFont="1" applyFill="1" applyBorder="1" applyAlignment="1">
      <alignment horizontal="center" vertical="center"/>
    </xf>
    <xf numFmtId="0" fontId="75" fillId="13" borderId="4" xfId="0" applyFont="1" applyFill="1" applyBorder="1" applyAlignment="1">
      <alignment horizontal="center" vertical="center"/>
    </xf>
    <xf numFmtId="0" fontId="75" fillId="13" borderId="5" xfId="0" applyFont="1" applyFill="1" applyBorder="1" applyAlignment="1">
      <alignment horizontal="center" vertical="center"/>
    </xf>
    <xf numFmtId="0" fontId="77" fillId="31" borderId="5" xfId="0" applyFont="1" applyFill="1" applyBorder="1" applyAlignment="1">
      <alignment horizontal="center" vertical="center"/>
    </xf>
    <xf numFmtId="0" fontId="19" fillId="12" borderId="1" xfId="0" applyFont="1" applyFill="1" applyBorder="1" applyAlignment="1">
      <alignment horizontal="center" vertical="center"/>
    </xf>
    <xf numFmtId="0" fontId="26" fillId="4" borderId="4" xfId="0" applyFont="1" applyFill="1" applyBorder="1"/>
    <xf numFmtId="0" fontId="20" fillId="0" borderId="22" xfId="0" applyFont="1" applyBorder="1" applyAlignment="1">
      <alignment vertical="top"/>
    </xf>
    <xf numFmtId="0" fontId="20" fillId="0" borderId="41" xfId="0" applyFont="1" applyBorder="1" applyAlignment="1">
      <alignment vertical="top"/>
    </xf>
    <xf numFmtId="0" fontId="25" fillId="4" borderId="6" xfId="0" applyFont="1" applyFill="1" applyBorder="1"/>
    <xf numFmtId="0" fontId="20" fillId="4" borderId="4" xfId="0" applyFont="1" applyFill="1" applyBorder="1"/>
    <xf numFmtId="0" fontId="20" fillId="4" borderId="40" xfId="0" applyFont="1" applyFill="1" applyBorder="1"/>
    <xf numFmtId="0" fontId="0" fillId="7" borderId="6" xfId="0" applyFill="1" applyBorder="1"/>
    <xf numFmtId="0" fontId="25" fillId="7" borderId="6" xfId="0" applyFont="1" applyFill="1" applyBorder="1"/>
    <xf numFmtId="0" fontId="26" fillId="14" borderId="0" xfId="0" applyFont="1" applyFill="1"/>
    <xf numFmtId="0" fontId="0" fillId="12" borderId="4" xfId="0" applyFill="1" applyBorder="1" applyAlignment="1">
      <alignment horizontal="center" vertical="center"/>
    </xf>
    <xf numFmtId="0" fontId="0" fillId="12" borderId="5" xfId="0" applyFill="1" applyBorder="1" applyAlignment="1">
      <alignment horizontal="center" vertical="center"/>
    </xf>
    <xf numFmtId="0" fontId="0" fillId="12" borderId="8" xfId="0" applyFill="1" applyBorder="1" applyAlignment="1">
      <alignment horizontal="center" vertical="center"/>
    </xf>
    <xf numFmtId="0" fontId="0" fillId="12" borderId="6" xfId="0" applyFill="1" applyBorder="1" applyAlignment="1">
      <alignment horizontal="center" vertical="center"/>
    </xf>
    <xf numFmtId="0" fontId="51" fillId="8" borderId="21" xfId="0" applyFont="1" applyFill="1" applyBorder="1" applyAlignment="1">
      <alignment horizontal="center" vertical="center" wrapText="1"/>
    </xf>
    <xf numFmtId="0" fontId="51" fillId="12" borderId="32" xfId="0" applyFont="1" applyFill="1" applyBorder="1" applyAlignment="1">
      <alignment horizontal="center" vertical="center" wrapText="1"/>
    </xf>
    <xf numFmtId="0" fontId="20" fillId="4" borderId="21" xfId="0" applyFont="1" applyFill="1" applyBorder="1" applyAlignment="1">
      <alignment vertical="center"/>
    </xf>
    <xf numFmtId="0" fontId="20" fillId="20" borderId="3" xfId="0" applyFont="1" applyFill="1" applyBorder="1" applyAlignment="1">
      <alignment vertical="top"/>
    </xf>
    <xf numFmtId="0" fontId="20" fillId="20" borderId="0" xfId="0" applyFont="1" applyFill="1" applyAlignment="1">
      <alignment vertical="top"/>
    </xf>
    <xf numFmtId="0" fontId="20" fillId="20" borderId="19" xfId="0" applyFont="1" applyFill="1" applyBorder="1" applyAlignment="1">
      <alignment vertical="top"/>
    </xf>
    <xf numFmtId="0" fontId="20" fillId="20" borderId="42" xfId="0" applyFont="1" applyFill="1" applyBorder="1" applyAlignment="1">
      <alignment vertical="top"/>
    </xf>
    <xf numFmtId="0" fontId="25" fillId="14" borderId="0" xfId="0" applyFont="1" applyFill="1"/>
    <xf numFmtId="0" fontId="20" fillId="0" borderId="40" xfId="0" applyFont="1" applyBorder="1"/>
    <xf numFmtId="0" fontId="20" fillId="3" borderId="4" xfId="0" applyFont="1" applyFill="1" applyBorder="1"/>
    <xf numFmtId="0" fontId="19" fillId="4" borderId="6" xfId="0" applyFont="1" applyFill="1" applyBorder="1" applyAlignment="1">
      <alignment horizontal="right"/>
    </xf>
    <xf numFmtId="0" fontId="19" fillId="7" borderId="1" xfId="0" applyFont="1" applyFill="1" applyBorder="1" applyAlignment="1">
      <alignment horizontal="right"/>
    </xf>
    <xf numFmtId="0" fontId="19" fillId="0" borderId="0" xfId="0" applyFont="1" applyAlignment="1">
      <alignment horizontal="right"/>
    </xf>
    <xf numFmtId="0" fontId="20" fillId="17" borderId="22" xfId="0" applyFont="1" applyFill="1" applyBorder="1" applyAlignment="1">
      <alignment horizontal="center" vertical="top"/>
    </xf>
    <xf numFmtId="0" fontId="19" fillId="4" borderId="1" xfId="0" applyFont="1" applyFill="1" applyBorder="1" applyAlignment="1">
      <alignment horizontal="center" vertical="center"/>
    </xf>
    <xf numFmtId="0" fontId="25" fillId="7" borderId="1" xfId="0" applyFont="1" applyFill="1" applyBorder="1" applyAlignment="1">
      <alignment horizontal="center" vertical="center"/>
    </xf>
    <xf numFmtId="0" fontId="19" fillId="4" borderId="6" xfId="0" applyFont="1" applyFill="1" applyBorder="1" applyAlignment="1">
      <alignment horizontal="right" vertical="center"/>
    </xf>
    <xf numFmtId="0" fontId="25" fillId="0" borderId="0" xfId="0" applyFont="1" applyAlignment="1">
      <alignment horizontal="right" vertical="center"/>
    </xf>
    <xf numFmtId="0" fontId="20" fillId="20" borderId="14" xfId="0" applyFont="1" applyFill="1" applyBorder="1" applyAlignment="1">
      <alignment vertical="top"/>
    </xf>
    <xf numFmtId="0" fontId="20" fillId="20" borderId="20" xfId="0" applyFont="1" applyFill="1" applyBorder="1" applyAlignment="1">
      <alignment vertical="top"/>
    </xf>
    <xf numFmtId="0" fontId="52" fillId="14" borderId="22" xfId="0" applyFont="1" applyFill="1" applyBorder="1" applyAlignment="1">
      <alignment horizontal="center"/>
    </xf>
    <xf numFmtId="0" fontId="0" fillId="0" borderId="34" xfId="0" applyBorder="1" applyAlignment="1">
      <alignment horizontal="center"/>
    </xf>
    <xf numFmtId="0" fontId="63" fillId="0" borderId="6" xfId="0" applyFont="1" applyBorder="1" applyAlignment="1">
      <alignment horizontal="center"/>
    </xf>
    <xf numFmtId="0" fontId="64" fillId="22" borderId="4" xfId="0" applyFont="1" applyFill="1" applyBorder="1" applyAlignment="1">
      <alignment horizontal="center"/>
    </xf>
    <xf numFmtId="0" fontId="52" fillId="22" borderId="4" xfId="0" applyFont="1" applyFill="1" applyBorder="1" applyAlignment="1">
      <alignment horizontal="center" vertical="center"/>
    </xf>
    <xf numFmtId="1" fontId="52" fillId="22" borderId="4" xfId="0" applyNumberFormat="1" applyFont="1" applyFill="1" applyBorder="1" applyAlignment="1">
      <alignment horizontal="center" vertical="center"/>
    </xf>
    <xf numFmtId="1" fontId="51" fillId="12" borderId="1" xfId="1" applyNumberFormat="1" applyFont="1" applyFill="1" applyBorder="1" applyAlignment="1">
      <alignment horizontal="center" vertical="center"/>
    </xf>
    <xf numFmtId="0" fontId="51" fillId="12" borderId="1" xfId="1" applyFont="1" applyFill="1" applyBorder="1" applyAlignment="1">
      <alignment horizontal="center" vertical="center"/>
    </xf>
    <xf numFmtId="0" fontId="52" fillId="17" borderId="4" xfId="0" applyFont="1" applyFill="1" applyBorder="1" applyAlignment="1">
      <alignment horizontal="center" vertical="center"/>
    </xf>
    <xf numFmtId="0" fontId="52" fillId="14" borderId="40" xfId="0" applyFont="1" applyFill="1" applyBorder="1" applyAlignment="1">
      <alignment horizontal="center"/>
    </xf>
    <xf numFmtId="0" fontId="20" fillId="0" borderId="42" xfId="0" applyFont="1" applyBorder="1" applyAlignment="1">
      <alignment vertical="center" wrapText="1"/>
    </xf>
    <xf numFmtId="0" fontId="52" fillId="14" borderId="0" xfId="0" applyFont="1" applyFill="1" applyAlignment="1">
      <alignment horizontal="center"/>
    </xf>
    <xf numFmtId="0" fontId="52" fillId="12" borderId="1" xfId="0" applyFont="1" applyFill="1" applyBorder="1" applyAlignment="1">
      <alignment horizontal="right"/>
    </xf>
    <xf numFmtId="0" fontId="52" fillId="17" borderId="4" xfId="0" applyFont="1" applyFill="1" applyBorder="1" applyAlignment="1">
      <alignment horizontal="center"/>
    </xf>
    <xf numFmtId="0" fontId="26" fillId="12" borderId="1" xfId="0" applyFont="1" applyFill="1" applyBorder="1"/>
    <xf numFmtId="0" fontId="58" fillId="25" borderId="21" xfId="0" applyFont="1" applyFill="1" applyBorder="1" applyAlignment="1">
      <alignment vertical="top"/>
    </xf>
    <xf numFmtId="0" fontId="20" fillId="0" borderId="0" xfId="0" applyFont="1" applyAlignment="1">
      <alignment horizontal="center"/>
    </xf>
    <xf numFmtId="0" fontId="19" fillId="7" borderId="32" xfId="0" applyFont="1" applyFill="1" applyBorder="1" applyAlignment="1">
      <alignment horizontal="center" vertical="center"/>
    </xf>
    <xf numFmtId="0" fontId="20" fillId="7" borderId="21" xfId="0" applyFont="1" applyFill="1" applyBorder="1" applyAlignment="1">
      <alignment vertical="top"/>
    </xf>
    <xf numFmtId="0" fontId="20" fillId="21" borderId="33" xfId="0" applyFont="1" applyFill="1" applyBorder="1" applyAlignment="1">
      <alignment horizontal="center" vertical="center"/>
    </xf>
    <xf numFmtId="0" fontId="20" fillId="12" borderId="21" xfId="0" applyFont="1" applyFill="1" applyBorder="1" applyAlignment="1">
      <alignment horizontal="center" vertical="center"/>
    </xf>
    <xf numFmtId="0" fontId="20" fillId="12" borderId="21" xfId="0" applyFont="1" applyFill="1" applyBorder="1"/>
    <xf numFmtId="0" fontId="20" fillId="0" borderId="4" xfId="0" applyFont="1" applyBorder="1" applyAlignment="1">
      <alignment horizontal="center"/>
    </xf>
    <xf numFmtId="0" fontId="20" fillId="4" borderId="22" xfId="0" applyFont="1" applyFill="1" applyBorder="1" applyAlignment="1">
      <alignment horizontal="center" vertical="center"/>
    </xf>
    <xf numFmtId="0" fontId="20" fillId="0" borderId="2" xfId="0" applyFont="1" applyBorder="1" applyAlignment="1">
      <alignment horizontal="center" vertical="center"/>
    </xf>
    <xf numFmtId="0" fontId="58" fillId="17" borderId="21" xfId="0" applyFont="1" applyFill="1" applyBorder="1" applyAlignment="1">
      <alignment horizontal="center" vertical="center"/>
    </xf>
    <xf numFmtId="0" fontId="20" fillId="22" borderId="6" xfId="0" applyFont="1" applyFill="1" applyBorder="1" applyAlignment="1">
      <alignment horizontal="center" vertical="center"/>
    </xf>
    <xf numFmtId="0" fontId="20" fillId="8" borderId="14" xfId="0" applyFont="1" applyFill="1" applyBorder="1" applyAlignment="1">
      <alignment horizontal="center"/>
    </xf>
    <xf numFmtId="0" fontId="20" fillId="17" borderId="0" xfId="0" applyFont="1" applyFill="1"/>
    <xf numFmtId="0" fontId="26" fillId="0" borderId="14" xfId="0" applyFont="1" applyBorder="1"/>
    <xf numFmtId="0" fontId="26" fillId="0" borderId="20" xfId="0" applyFont="1" applyBorder="1"/>
    <xf numFmtId="0" fontId="20" fillId="0" borderId="3" xfId="0" applyFont="1" applyBorder="1" applyAlignment="1">
      <alignment horizontal="center"/>
    </xf>
    <xf numFmtId="0" fontId="20" fillId="0" borderId="8" xfId="0" applyFont="1" applyBorder="1" applyAlignment="1">
      <alignment horizontal="center"/>
    </xf>
    <xf numFmtId="0" fontId="20" fillId="0" borderId="8" xfId="0" applyFont="1" applyBorder="1" applyAlignment="1">
      <alignment horizontal="center" vertical="center"/>
    </xf>
    <xf numFmtId="0" fontId="20" fillId="0" borderId="6" xfId="0" applyFont="1" applyBorder="1" applyAlignment="1">
      <alignment vertical="top"/>
    </xf>
    <xf numFmtId="0" fontId="20" fillId="0" borderId="14" xfId="0" applyFont="1" applyBorder="1" applyAlignment="1">
      <alignment horizontal="center"/>
    </xf>
    <xf numFmtId="0" fontId="20" fillId="21" borderId="19" xfId="0" applyFont="1" applyFill="1" applyBorder="1" applyAlignment="1">
      <alignment horizontal="center" vertical="center"/>
    </xf>
    <xf numFmtId="0" fontId="20" fillId="21" borderId="20" xfId="0" applyFont="1" applyFill="1" applyBorder="1" applyAlignment="1">
      <alignment horizontal="center" vertical="center"/>
    </xf>
    <xf numFmtId="0" fontId="20" fillId="17" borderId="21" xfId="0" applyFont="1" applyFill="1" applyBorder="1" applyAlignment="1">
      <alignment horizontal="center"/>
    </xf>
    <xf numFmtId="0" fontId="20" fillId="17" borderId="32" xfId="0" applyFont="1" applyFill="1" applyBorder="1" applyAlignment="1">
      <alignment horizontal="center"/>
    </xf>
    <xf numFmtId="0" fontId="20" fillId="12" borderId="9" xfId="0" applyFont="1" applyFill="1" applyBorder="1" applyAlignment="1">
      <alignment horizontal="center"/>
    </xf>
    <xf numFmtId="0" fontId="20" fillId="12" borderId="11" xfId="0" applyFont="1" applyFill="1" applyBorder="1" applyAlignment="1">
      <alignment horizontal="center"/>
    </xf>
    <xf numFmtId="165" fontId="19" fillId="7" borderId="1" xfId="0" applyNumberFormat="1" applyFont="1" applyFill="1" applyBorder="1" applyAlignment="1">
      <alignment horizontal="center" vertical="center"/>
    </xf>
    <xf numFmtId="0" fontId="20" fillId="0" borderId="41" xfId="0" applyFont="1" applyBorder="1" applyAlignment="1">
      <alignment horizontal="center"/>
    </xf>
    <xf numFmtId="0" fontId="20" fillId="22" borderId="4" xfId="0" applyFont="1" applyFill="1" applyBorder="1" applyAlignment="1">
      <alignment horizontal="center" vertical="center"/>
    </xf>
    <xf numFmtId="0" fontId="20" fillId="8" borderId="11" xfId="0" applyFont="1" applyFill="1" applyBorder="1" applyAlignment="1">
      <alignment horizontal="center"/>
    </xf>
    <xf numFmtId="0" fontId="26" fillId="4" borderId="40" xfId="0" applyFont="1" applyFill="1" applyBorder="1"/>
    <xf numFmtId="0" fontId="20" fillId="0" borderId="8" xfId="0" applyFont="1" applyBorder="1" applyAlignment="1">
      <alignment vertical="top"/>
    </xf>
    <xf numFmtId="0" fontId="20" fillId="0" borderId="8" xfId="0" applyFont="1" applyBorder="1"/>
    <xf numFmtId="0" fontId="20" fillId="5" borderId="45" xfId="0" applyFont="1" applyFill="1" applyBorder="1" applyAlignment="1">
      <alignment horizontal="center"/>
    </xf>
    <xf numFmtId="0" fontId="20" fillId="22" borderId="8" xfId="0" applyFont="1" applyFill="1" applyBorder="1" applyAlignment="1">
      <alignment horizontal="center" vertical="center"/>
    </xf>
    <xf numFmtId="0" fontId="20" fillId="8" borderId="67" xfId="0" applyFont="1" applyFill="1" applyBorder="1" applyAlignment="1">
      <alignment horizontal="center" vertical="center"/>
    </xf>
    <xf numFmtId="165" fontId="19" fillId="8" borderId="1" xfId="0" applyNumberFormat="1" applyFont="1" applyFill="1" applyBorder="1" applyAlignment="1">
      <alignment horizontal="center" vertical="center"/>
    </xf>
    <xf numFmtId="0" fontId="20" fillId="0" borderId="67" xfId="0" applyFont="1" applyBorder="1" applyAlignment="1">
      <alignment horizontal="center" vertical="center"/>
    </xf>
    <xf numFmtId="0" fontId="20" fillId="5" borderId="8" xfId="0" applyFont="1" applyFill="1" applyBorder="1" applyAlignment="1">
      <alignment horizontal="center" vertical="center"/>
    </xf>
    <xf numFmtId="0" fontId="20" fillId="5" borderId="45" xfId="0" applyFont="1" applyFill="1" applyBorder="1" applyAlignment="1">
      <alignment horizontal="center" vertical="center"/>
    </xf>
    <xf numFmtId="0" fontId="20" fillId="5" borderId="67" xfId="0" applyFont="1" applyFill="1" applyBorder="1" applyAlignment="1">
      <alignment horizontal="center" vertical="center"/>
    </xf>
    <xf numFmtId="0" fontId="20" fillId="22" borderId="40" xfId="0" applyFont="1" applyFill="1" applyBorder="1" applyAlignment="1">
      <alignment horizontal="center" vertical="center"/>
    </xf>
    <xf numFmtId="0" fontId="19" fillId="0" borderId="1" xfId="0" applyFont="1" applyBorder="1" applyAlignment="1">
      <alignment horizontal="center"/>
    </xf>
    <xf numFmtId="0" fontId="19" fillId="7" borderId="1" xfId="0" applyFont="1" applyFill="1" applyBorder="1" applyAlignment="1">
      <alignment horizontal="center"/>
    </xf>
    <xf numFmtId="0" fontId="20" fillId="0" borderId="1" xfId="0" applyFont="1" applyBorder="1" applyAlignment="1">
      <alignment horizontal="center"/>
    </xf>
    <xf numFmtId="0" fontId="19" fillId="7" borderId="1" xfId="0" applyFont="1" applyFill="1" applyBorder="1" applyAlignment="1">
      <alignment horizontal="right" vertical="center"/>
    </xf>
    <xf numFmtId="0" fontId="1" fillId="0" borderId="1" xfId="0" applyFont="1" applyBorder="1" applyAlignment="1">
      <alignment horizontal="center"/>
    </xf>
    <xf numFmtId="1" fontId="19" fillId="7" borderId="1" xfId="0" applyNumberFormat="1" applyFont="1" applyFill="1" applyBorder="1" applyAlignment="1">
      <alignment horizontal="center"/>
    </xf>
    <xf numFmtId="1" fontId="19" fillId="7" borderId="32" xfId="0" applyNumberFormat="1" applyFont="1" applyFill="1" applyBorder="1" applyAlignment="1">
      <alignment horizontal="center" vertical="center"/>
    </xf>
    <xf numFmtId="0" fontId="20" fillId="0" borderId="40" xfId="0" applyFont="1" applyBorder="1" applyAlignment="1">
      <alignment horizontal="center" vertical="center"/>
    </xf>
    <xf numFmtId="0" fontId="20" fillId="0" borderId="22" xfId="0" applyFont="1" applyBorder="1" applyAlignment="1">
      <alignment horizontal="center" vertical="center"/>
    </xf>
    <xf numFmtId="0" fontId="20" fillId="0" borderId="16" xfId="0" applyFont="1" applyBorder="1" applyAlignment="1">
      <alignment horizontal="center" vertical="center"/>
    </xf>
    <xf numFmtId="0" fontId="58" fillId="0" borderId="1" xfId="0" applyFont="1" applyBorder="1" applyAlignment="1">
      <alignment horizontal="center" vertical="center"/>
    </xf>
    <xf numFmtId="0" fontId="20" fillId="0" borderId="32" xfId="0" applyFont="1" applyBorder="1" applyAlignment="1">
      <alignment horizontal="center" vertical="center"/>
    </xf>
    <xf numFmtId="0" fontId="20" fillId="7" borderId="1" xfId="0" applyFont="1" applyFill="1" applyBorder="1" applyAlignment="1">
      <alignment horizontal="center" vertical="center"/>
    </xf>
    <xf numFmtId="0" fontId="20" fillId="7" borderId="1" xfId="0" applyFont="1" applyFill="1" applyBorder="1" applyAlignment="1">
      <alignment horizontal="center"/>
    </xf>
    <xf numFmtId="0" fontId="0" fillId="7" borderId="24" xfId="0" applyFill="1" applyBorder="1" applyAlignment="1">
      <alignment vertical="top"/>
    </xf>
    <xf numFmtId="0" fontId="0" fillId="7" borderId="11" xfId="0" applyFill="1" applyBorder="1" applyAlignment="1">
      <alignment vertical="top"/>
    </xf>
    <xf numFmtId="0" fontId="0" fillId="0" borderId="6" xfId="0" applyBorder="1" applyAlignment="1">
      <alignment horizontal="center" vertical="top"/>
    </xf>
    <xf numFmtId="0" fontId="0" fillId="7" borderId="5" xfId="0" applyFill="1" applyBorder="1" applyAlignment="1">
      <alignment horizontal="center" vertical="top"/>
    </xf>
    <xf numFmtId="0" fontId="0" fillId="0" borderId="5" xfId="0" applyBorder="1" applyAlignment="1">
      <alignment horizontal="center" vertical="top"/>
    </xf>
    <xf numFmtId="0" fontId="0" fillId="0" borderId="1" xfId="0" applyBorder="1" applyAlignment="1">
      <alignment horizontal="center" vertical="top"/>
    </xf>
    <xf numFmtId="0" fontId="20" fillId="8" borderId="1" xfId="0" applyFont="1" applyFill="1" applyBorder="1" applyAlignment="1">
      <alignment vertical="top"/>
    </xf>
    <xf numFmtId="0" fontId="20" fillId="7" borderId="9" xfId="0" applyFont="1" applyFill="1" applyBorder="1" applyAlignment="1">
      <alignment vertical="top"/>
    </xf>
    <xf numFmtId="0" fontId="26" fillId="4" borderId="4" xfId="0" applyFont="1" applyFill="1" applyBorder="1" applyAlignment="1">
      <alignment horizontal="center" vertical="center"/>
    </xf>
    <xf numFmtId="0" fontId="20" fillId="2" borderId="1" xfId="0" applyFont="1" applyFill="1" applyBorder="1" applyAlignment="1">
      <alignment horizontal="center" vertical="center"/>
    </xf>
    <xf numFmtId="0" fontId="26" fillId="0" borderId="1" xfId="0" applyFont="1" applyBorder="1" applyAlignment="1">
      <alignment horizontal="center" vertical="center"/>
    </xf>
    <xf numFmtId="0" fontId="1" fillId="14" borderId="0" xfId="0" applyFont="1" applyFill="1"/>
    <xf numFmtId="0" fontId="20" fillId="3" borderId="1" xfId="0" applyFont="1" applyFill="1" applyBorder="1" applyAlignment="1">
      <alignment horizontal="center" vertical="center"/>
    </xf>
    <xf numFmtId="0" fontId="20" fillId="16" borderId="21" xfId="0" applyFont="1" applyFill="1" applyBorder="1"/>
    <xf numFmtId="0" fontId="25" fillId="7" borderId="1" xfId="0" applyFont="1" applyFill="1" applyBorder="1" applyAlignment="1">
      <alignment horizontal="center"/>
    </xf>
    <xf numFmtId="0" fontId="25" fillId="7" borderId="21" xfId="0" applyFont="1" applyFill="1" applyBorder="1"/>
    <xf numFmtId="0" fontId="25" fillId="7" borderId="1" xfId="0" applyFont="1" applyFill="1" applyBorder="1"/>
    <xf numFmtId="0" fontId="1" fillId="0" borderId="4" xfId="0" applyFont="1" applyBorder="1" applyAlignment="1">
      <alignment vertical="top"/>
    </xf>
    <xf numFmtId="0" fontId="25" fillId="7" borderId="26" xfId="0" applyFont="1" applyFill="1" applyBorder="1"/>
    <xf numFmtId="0" fontId="20" fillId="3" borderId="41" xfId="0" applyFont="1" applyFill="1" applyBorder="1" applyAlignment="1">
      <alignment horizontal="center" vertical="center"/>
    </xf>
    <xf numFmtId="0" fontId="20" fillId="12" borderId="14" xfId="0" applyFont="1" applyFill="1" applyBorder="1" applyAlignment="1">
      <alignment horizontal="center" vertical="center"/>
    </xf>
    <xf numFmtId="0" fontId="78" fillId="2" borderId="22" xfId="0" applyFont="1" applyFill="1" applyBorder="1" applyAlignment="1">
      <alignment horizontal="center" vertical="center"/>
    </xf>
    <xf numFmtId="0" fontId="25" fillId="7" borderId="22" xfId="0" applyFont="1" applyFill="1" applyBorder="1" applyAlignment="1">
      <alignment horizontal="center" vertical="center"/>
    </xf>
    <xf numFmtId="1" fontId="25" fillId="7" borderId="20" xfId="0" applyNumberFormat="1" applyFont="1" applyFill="1" applyBorder="1" applyAlignment="1">
      <alignment horizontal="center" vertical="center"/>
    </xf>
    <xf numFmtId="0" fontId="51" fillId="2" borderId="1" xfId="0" applyFont="1" applyFill="1" applyBorder="1" applyAlignment="1">
      <alignment horizontal="center"/>
    </xf>
    <xf numFmtId="0" fontId="58" fillId="25" borderId="1" xfId="0" applyFont="1" applyFill="1" applyBorder="1" applyAlignment="1">
      <alignment horizontal="center" vertical="center"/>
    </xf>
    <xf numFmtId="0" fontId="20" fillId="0" borderId="11" xfId="0" applyFont="1" applyBorder="1" applyAlignment="1">
      <alignment horizontal="center" vertical="center"/>
    </xf>
    <xf numFmtId="0" fontId="20" fillId="0" borderId="10" xfId="0" applyFont="1" applyBorder="1" applyAlignment="1">
      <alignment horizontal="center" vertical="center"/>
    </xf>
    <xf numFmtId="0" fontId="20" fillId="0" borderId="5" xfId="0" applyFont="1" applyBorder="1" applyAlignment="1">
      <alignment vertical="top"/>
    </xf>
    <xf numFmtId="0" fontId="58" fillId="9" borderId="1" xfId="0" applyFont="1" applyFill="1" applyBorder="1" applyAlignment="1">
      <alignment horizontal="center" vertical="center"/>
    </xf>
    <xf numFmtId="0" fontId="58" fillId="25" borderId="33" xfId="0" applyFont="1" applyFill="1" applyBorder="1" applyAlignment="1">
      <alignment horizontal="center"/>
    </xf>
    <xf numFmtId="0" fontId="20" fillId="17" borderId="1" xfId="0" applyFont="1" applyFill="1" applyBorder="1" applyAlignment="1">
      <alignment horizontal="center"/>
    </xf>
    <xf numFmtId="1" fontId="25" fillId="7" borderId="1" xfId="0" applyNumberFormat="1" applyFont="1" applyFill="1" applyBorder="1" applyAlignment="1">
      <alignment horizontal="center" vertical="center"/>
    </xf>
    <xf numFmtId="0" fontId="20" fillId="8" borderId="4" xfId="0" applyFont="1" applyFill="1" applyBorder="1" applyAlignment="1">
      <alignment vertical="top"/>
    </xf>
    <xf numFmtId="0" fontId="20" fillId="0" borderId="4" xfId="0" applyFont="1" applyBorder="1" applyAlignment="1">
      <alignment vertical="top"/>
    </xf>
    <xf numFmtId="0" fontId="26" fillId="4" borderId="41" xfId="0" applyFont="1" applyFill="1" applyBorder="1"/>
    <xf numFmtId="0" fontId="0" fillId="7" borderId="22" xfId="0" applyFill="1" applyBorder="1" applyAlignment="1">
      <alignment horizontal="center"/>
    </xf>
    <xf numFmtId="0" fontId="0" fillId="7" borderId="20" xfId="0" applyFill="1" applyBorder="1" applyAlignment="1">
      <alignment horizontal="center" vertical="center"/>
    </xf>
    <xf numFmtId="1" fontId="0" fillId="7" borderId="22" xfId="0" applyNumberFormat="1" applyFill="1" applyBorder="1" applyAlignment="1">
      <alignment horizontal="center" vertical="center"/>
    </xf>
    <xf numFmtId="0" fontId="20" fillId="12" borderId="1" xfId="0" applyFont="1" applyFill="1" applyBorder="1" applyAlignment="1">
      <alignment horizontal="center"/>
    </xf>
    <xf numFmtId="0" fontId="25" fillId="7" borderId="32" xfId="0" applyFont="1" applyFill="1" applyBorder="1" applyAlignment="1">
      <alignment horizontal="center" vertical="center"/>
    </xf>
    <xf numFmtId="1" fontId="25" fillId="7" borderId="1" xfId="0" applyNumberFormat="1" applyFont="1" applyFill="1" applyBorder="1" applyAlignment="1">
      <alignment horizontal="center"/>
    </xf>
    <xf numFmtId="1" fontId="25" fillId="7" borderId="32" xfId="0" applyNumberFormat="1" applyFont="1" applyFill="1" applyBorder="1" applyAlignment="1">
      <alignment horizontal="center" vertical="center"/>
    </xf>
    <xf numFmtId="0" fontId="25" fillId="0" borderId="1" xfId="0" applyFont="1" applyBorder="1" applyAlignment="1">
      <alignment horizontal="center" vertical="center"/>
    </xf>
    <xf numFmtId="0" fontId="25" fillId="0" borderId="1" xfId="0" applyFont="1" applyBorder="1" applyAlignment="1">
      <alignment horizontal="center"/>
    </xf>
    <xf numFmtId="0" fontId="25" fillId="0" borderId="32" xfId="0" applyFont="1" applyBorder="1" applyAlignment="1">
      <alignment horizontal="center" vertical="center"/>
    </xf>
    <xf numFmtId="0" fontId="20" fillId="12" borderId="2" xfId="0" applyFont="1" applyFill="1" applyBorder="1" applyAlignment="1">
      <alignment horizontal="center"/>
    </xf>
    <xf numFmtId="0" fontId="58" fillId="8" borderId="1" xfId="0" applyFont="1" applyFill="1" applyBorder="1" applyAlignment="1">
      <alignment horizontal="center" vertical="center"/>
    </xf>
    <xf numFmtId="0" fontId="58" fillId="25" borderId="1" xfId="0" applyFont="1" applyFill="1" applyBorder="1" applyAlignment="1">
      <alignment horizontal="center"/>
    </xf>
    <xf numFmtId="0" fontId="20" fillId="16" borderId="1" xfId="0" applyFont="1" applyFill="1" applyBorder="1" applyAlignment="1">
      <alignment horizontal="center"/>
    </xf>
    <xf numFmtId="0" fontId="20" fillId="12" borderId="16" xfId="0" applyFont="1" applyFill="1" applyBorder="1" applyAlignment="1">
      <alignment horizontal="center"/>
    </xf>
    <xf numFmtId="0" fontId="58" fillId="17" borderId="1" xfId="0" applyFont="1" applyFill="1" applyBorder="1" applyAlignment="1">
      <alignment horizontal="center" vertical="top"/>
    </xf>
    <xf numFmtId="0" fontId="58" fillId="17" borderId="1" xfId="0" applyFont="1" applyFill="1" applyBorder="1" applyAlignment="1">
      <alignment horizontal="center" vertical="center"/>
    </xf>
    <xf numFmtId="0" fontId="20" fillId="16" borderId="22" xfId="0" applyFont="1" applyFill="1" applyBorder="1" applyAlignment="1">
      <alignment horizontal="center" vertical="center"/>
    </xf>
    <xf numFmtId="0" fontId="51" fillId="2" borderId="22" xfId="0" applyFont="1" applyFill="1" applyBorder="1" applyAlignment="1">
      <alignment horizontal="center" vertical="center"/>
    </xf>
    <xf numFmtId="0" fontId="58" fillId="3" borderId="1" xfId="0" applyFont="1" applyFill="1" applyBorder="1" applyAlignment="1">
      <alignment horizontal="center"/>
    </xf>
    <xf numFmtId="0" fontId="58" fillId="3" borderId="1" xfId="0" applyFont="1" applyFill="1" applyBorder="1" applyAlignment="1">
      <alignment horizontal="center" vertical="center"/>
    </xf>
    <xf numFmtId="1" fontId="19" fillId="7" borderId="15" xfId="0" applyNumberFormat="1" applyFont="1" applyFill="1" applyBorder="1" applyAlignment="1">
      <alignment horizontal="center" vertical="center"/>
    </xf>
    <xf numFmtId="1" fontId="19" fillId="7" borderId="77" xfId="0" applyNumberFormat="1" applyFont="1" applyFill="1" applyBorder="1" applyAlignment="1">
      <alignment horizontal="center" vertical="center"/>
    </xf>
    <xf numFmtId="49" fontId="0" fillId="11" borderId="4" xfId="0" applyNumberFormat="1" applyFill="1" applyBorder="1" applyAlignment="1">
      <alignment horizontal="left" vertical="top"/>
    </xf>
    <xf numFmtId="0" fontId="0" fillId="11" borderId="1" xfId="0" applyFill="1" applyBorder="1" applyAlignment="1">
      <alignment horizontal="left" vertical="top"/>
    </xf>
    <xf numFmtId="49" fontId="0" fillId="11" borderId="1" xfId="0" applyNumberFormat="1" applyFill="1" applyBorder="1" applyAlignment="1">
      <alignment horizontal="left" vertical="top"/>
    </xf>
    <xf numFmtId="0" fontId="20" fillId="5" borderId="0" xfId="0" applyFont="1" applyFill="1" applyAlignment="1">
      <alignment horizontal="center" vertical="center"/>
    </xf>
    <xf numFmtId="1" fontId="1" fillId="0" borderId="1" xfId="0" applyNumberFormat="1" applyFont="1" applyBorder="1" applyAlignment="1">
      <alignment horizontal="center" vertical="center"/>
    </xf>
    <xf numFmtId="0" fontId="20" fillId="3" borderId="40" xfId="0" applyFont="1" applyFill="1" applyBorder="1" applyAlignment="1">
      <alignment horizontal="center" vertical="center"/>
    </xf>
    <xf numFmtId="0" fontId="19" fillId="16" borderId="1" xfId="0" applyFont="1" applyFill="1" applyBorder="1"/>
    <xf numFmtId="0" fontId="19" fillId="16" borderId="3" xfId="0" applyFont="1" applyFill="1" applyBorder="1"/>
    <xf numFmtId="0" fontId="19" fillId="0" borderId="62" xfId="0" applyFont="1" applyBorder="1" applyAlignment="1">
      <alignment horizontal="center"/>
    </xf>
    <xf numFmtId="0" fontId="19" fillId="0" borderId="67" xfId="0" applyFont="1" applyBorder="1" applyAlignment="1">
      <alignment horizontal="center" vertical="center"/>
    </xf>
    <xf numFmtId="0" fontId="19" fillId="0" borderId="40" xfId="0" applyFont="1" applyBorder="1" applyAlignment="1">
      <alignment horizontal="center"/>
    </xf>
    <xf numFmtId="0" fontId="19" fillId="0" borderId="40" xfId="0" applyFont="1" applyBorder="1" applyAlignment="1">
      <alignment horizontal="center" vertical="center"/>
    </xf>
    <xf numFmtId="0" fontId="25" fillId="0" borderId="40" xfId="0" applyFont="1" applyBorder="1" applyAlignment="1">
      <alignment horizontal="center" vertical="center"/>
    </xf>
    <xf numFmtId="0" fontId="25" fillId="0" borderId="40" xfId="0" applyFont="1" applyBorder="1" applyAlignment="1">
      <alignment horizontal="center"/>
    </xf>
    <xf numFmtId="0" fontId="75" fillId="2" borderId="1" xfId="0" applyFont="1" applyFill="1" applyBorder="1" applyAlignment="1">
      <alignment horizontal="center"/>
    </xf>
    <xf numFmtId="0" fontId="19" fillId="0" borderId="47" xfId="0" applyFont="1" applyBorder="1" applyAlignment="1">
      <alignment horizontal="center" vertical="center"/>
    </xf>
    <xf numFmtId="0" fontId="19" fillId="0" borderId="14" xfId="0" applyFont="1" applyBorder="1" applyAlignment="1">
      <alignment horizontal="center"/>
    </xf>
    <xf numFmtId="0" fontId="19" fillId="0" borderId="21" xfId="0" applyFont="1" applyBorder="1" applyAlignment="1">
      <alignment horizontal="center" vertical="center"/>
    </xf>
    <xf numFmtId="0" fontId="19" fillId="0" borderId="14" xfId="0" applyFont="1" applyBorder="1" applyAlignment="1">
      <alignment horizontal="center" vertical="center"/>
    </xf>
    <xf numFmtId="0" fontId="19" fillId="0" borderId="62" xfId="0" applyFont="1" applyBorder="1" applyAlignment="1">
      <alignment horizontal="center" vertical="center"/>
    </xf>
    <xf numFmtId="0" fontId="58" fillId="17" borderId="32" xfId="0" applyFont="1" applyFill="1" applyBorder="1" applyAlignment="1">
      <alignment horizontal="center" vertical="center"/>
    </xf>
    <xf numFmtId="0" fontId="20" fillId="4" borderId="1" xfId="0" applyFont="1" applyFill="1" applyBorder="1" applyAlignment="1">
      <alignment horizontal="center"/>
    </xf>
    <xf numFmtId="0" fontId="20" fillId="0" borderId="62" xfId="0" applyFont="1" applyBorder="1" applyAlignment="1">
      <alignment horizontal="center"/>
    </xf>
    <xf numFmtId="0" fontId="20" fillId="12" borderId="5" xfId="0" applyFont="1" applyFill="1" applyBorder="1" applyAlignment="1">
      <alignment horizontal="center" vertical="center"/>
    </xf>
    <xf numFmtId="0" fontId="19" fillId="4" borderId="41" xfId="0" applyFont="1" applyFill="1" applyBorder="1" applyAlignment="1">
      <alignment horizontal="center"/>
    </xf>
    <xf numFmtId="0" fontId="19" fillId="0" borderId="6" xfId="0" applyFont="1" applyBorder="1" applyAlignment="1">
      <alignment horizontal="center" vertical="center"/>
    </xf>
    <xf numFmtId="0" fontId="0" fillId="7" borderId="15" xfId="0" applyFill="1" applyBorder="1" applyAlignment="1">
      <alignment horizontal="center" vertical="center"/>
    </xf>
    <xf numFmtId="0" fontId="0" fillId="7" borderId="39" xfId="0" applyFill="1" applyBorder="1" applyAlignment="1">
      <alignment horizontal="center" vertical="center"/>
    </xf>
    <xf numFmtId="0" fontId="25" fillId="4" borderId="4" xfId="0" applyFont="1" applyFill="1" applyBorder="1" applyAlignment="1">
      <alignment horizontal="center" vertical="center"/>
    </xf>
    <xf numFmtId="0" fontId="1" fillId="4" borderId="6" xfId="0" applyFont="1" applyFill="1" applyBorder="1" applyAlignment="1">
      <alignment horizontal="center" vertical="center"/>
    </xf>
    <xf numFmtId="0" fontId="0" fillId="7" borderId="1" xfId="0" applyFill="1" applyBorder="1" applyAlignment="1">
      <alignment horizontal="center"/>
    </xf>
    <xf numFmtId="0" fontId="25" fillId="0" borderId="0" xfId="0" applyFont="1" applyAlignment="1">
      <alignment horizontal="center" vertical="center"/>
    </xf>
    <xf numFmtId="0" fontId="58" fillId="3" borderId="1" xfId="0" applyFont="1" applyFill="1" applyBorder="1" applyAlignment="1">
      <alignment horizontal="center" vertical="top"/>
    </xf>
    <xf numFmtId="0" fontId="1" fillId="11" borderId="20" xfId="0" applyFont="1" applyFill="1" applyBorder="1" applyAlignment="1">
      <alignment horizontal="left" vertical="top"/>
    </xf>
    <xf numFmtId="0" fontId="1" fillId="7" borderId="2" xfId="0" applyFont="1" applyFill="1" applyBorder="1" applyAlignment="1">
      <alignment horizontal="center" vertical="center"/>
    </xf>
    <xf numFmtId="0" fontId="1" fillId="10" borderId="40" xfId="0" applyFont="1" applyFill="1" applyBorder="1" applyAlignment="1">
      <alignment horizontal="center" vertical="center"/>
    </xf>
    <xf numFmtId="0" fontId="1" fillId="10" borderId="41" xfId="0" applyFont="1" applyFill="1" applyBorder="1" applyAlignment="1">
      <alignment horizontal="center" vertical="center"/>
    </xf>
    <xf numFmtId="165" fontId="0" fillId="0" borderId="4" xfId="0" applyNumberFormat="1" applyBorder="1" applyAlignment="1">
      <alignment horizontal="center" vertical="center"/>
    </xf>
    <xf numFmtId="165" fontId="1" fillId="0" borderId="4" xfId="0" applyNumberFormat="1" applyFont="1" applyBorder="1" applyAlignment="1">
      <alignment horizontal="center" vertical="center"/>
    </xf>
    <xf numFmtId="0" fontId="1" fillId="10" borderId="4" xfId="0" applyFont="1" applyFill="1" applyBorder="1" applyAlignment="1">
      <alignment horizontal="center" vertical="center"/>
    </xf>
    <xf numFmtId="0" fontId="1" fillId="0" borderId="6" xfId="0" applyFont="1" applyBorder="1" applyAlignment="1">
      <alignment horizontal="center" vertical="center" wrapText="1"/>
    </xf>
    <xf numFmtId="0" fontId="26" fillId="0" borderId="0" xfId="0" applyFont="1" applyAlignment="1">
      <alignment horizontal="left" vertical="top" wrapText="1"/>
    </xf>
    <xf numFmtId="0" fontId="26" fillId="0" borderId="3" xfId="0" applyFont="1" applyBorder="1" applyAlignment="1">
      <alignment horizontal="left" vertical="top" wrapText="1"/>
    </xf>
    <xf numFmtId="0" fontId="26" fillId="0" borderId="19" xfId="0" applyFont="1" applyBorder="1" applyAlignment="1">
      <alignment horizontal="left" vertical="top" wrapText="1"/>
    </xf>
    <xf numFmtId="0" fontId="18" fillId="0" borderId="6" xfId="0" applyFont="1" applyBorder="1"/>
    <xf numFmtId="0" fontId="18" fillId="7" borderId="5" xfId="0" applyFont="1" applyFill="1" applyBorder="1"/>
    <xf numFmtId="0" fontId="18" fillId="0" borderId="5" xfId="0" applyFont="1" applyBorder="1"/>
    <xf numFmtId="0" fontId="18" fillId="0" borderId="1" xfId="0" applyFont="1" applyBorder="1"/>
    <xf numFmtId="0" fontId="0" fillId="0" borderId="187" xfId="0" applyBorder="1" applyAlignment="1">
      <alignment horizontal="center"/>
    </xf>
    <xf numFmtId="0" fontId="0" fillId="0" borderId="194" xfId="0" applyBorder="1" applyAlignment="1">
      <alignment horizontal="center"/>
    </xf>
    <xf numFmtId="165" fontId="0" fillId="0" borderId="5" xfId="0" applyNumberFormat="1" applyBorder="1" applyAlignment="1">
      <alignment horizontal="center" vertical="center"/>
    </xf>
    <xf numFmtId="0" fontId="23" fillId="18" borderId="33" xfId="0" applyFont="1" applyFill="1" applyBorder="1" applyAlignment="1">
      <alignment horizontal="center" vertical="center"/>
    </xf>
    <xf numFmtId="0" fontId="0" fillId="13" borderId="0" xfId="0" applyFill="1"/>
    <xf numFmtId="0" fontId="82" fillId="0" borderId="0" xfId="0" applyFont="1"/>
    <xf numFmtId="0" fontId="20" fillId="4" borderId="37" xfId="0" applyFont="1" applyFill="1" applyBorder="1" applyAlignment="1">
      <alignment horizontal="center" vertical="center"/>
    </xf>
    <xf numFmtId="0" fontId="1" fillId="3" borderId="41" xfId="0" applyFont="1" applyFill="1" applyBorder="1" applyAlignment="1">
      <alignment horizontal="center" vertical="center"/>
    </xf>
    <xf numFmtId="0" fontId="1" fillId="4" borderId="116" xfId="0" applyFont="1" applyFill="1" applyBorder="1" applyAlignment="1">
      <alignment horizontal="center" vertical="center"/>
    </xf>
    <xf numFmtId="0" fontId="0" fillId="0" borderId="38" xfId="0" applyBorder="1"/>
    <xf numFmtId="0" fontId="0" fillId="0" borderId="50" xfId="0" applyBorder="1"/>
    <xf numFmtId="0" fontId="0" fillId="0" borderId="38" xfId="0" applyBorder="1" applyAlignment="1">
      <alignment horizontal="center" vertical="center"/>
    </xf>
    <xf numFmtId="0" fontId="0" fillId="7" borderId="78" xfId="0" applyFill="1" applyBorder="1" applyAlignment="1">
      <alignment horizontal="left"/>
    </xf>
    <xf numFmtId="1" fontId="0" fillId="7" borderId="65" xfId="0" applyNumberFormat="1" applyFill="1" applyBorder="1"/>
    <xf numFmtId="1" fontId="0" fillId="7" borderId="65" xfId="0" applyNumberFormat="1" applyFill="1" applyBorder="1" applyAlignment="1">
      <alignment horizontal="center" vertical="center"/>
    </xf>
    <xf numFmtId="0" fontId="0" fillId="7" borderId="65" xfId="0" applyFill="1" applyBorder="1" applyAlignment="1">
      <alignment horizontal="left"/>
    </xf>
    <xf numFmtId="0" fontId="0" fillId="7" borderId="65" xfId="0" applyFill="1" applyBorder="1" applyAlignment="1">
      <alignment horizontal="center" vertical="center"/>
    </xf>
    <xf numFmtId="0" fontId="0" fillId="0" borderId="95" xfId="0" applyBorder="1"/>
    <xf numFmtId="0" fontId="0" fillId="0" borderId="95" xfId="0" applyBorder="1" applyAlignment="1">
      <alignment horizontal="center" vertical="center"/>
    </xf>
    <xf numFmtId="0" fontId="1" fillId="0" borderId="6" xfId="0" applyFont="1" applyBorder="1" applyAlignment="1">
      <alignment horizontal="center" vertical="center"/>
    </xf>
    <xf numFmtId="0" fontId="63" fillId="0" borderId="6" xfId="0" applyFont="1" applyBorder="1" applyAlignment="1">
      <alignment horizontal="center" vertical="center"/>
    </xf>
    <xf numFmtId="0" fontId="30" fillId="0" borderId="0" xfId="0" applyFont="1" applyAlignment="1">
      <alignment horizontal="right"/>
    </xf>
    <xf numFmtId="0" fontId="42" fillId="0" borderId="0" xfId="0" applyFont="1" applyAlignment="1">
      <alignment horizontal="center" vertical="center"/>
    </xf>
    <xf numFmtId="0" fontId="30" fillId="10" borderId="131" xfId="0" applyFont="1" applyFill="1" applyBorder="1"/>
    <xf numFmtId="0" fontId="30" fillId="35" borderId="129" xfId="0" applyFont="1" applyFill="1" applyBorder="1" applyAlignment="1">
      <alignment horizontal="center" vertical="center"/>
    </xf>
    <xf numFmtId="0" fontId="30" fillId="12" borderId="129" xfId="0" applyFont="1" applyFill="1" applyBorder="1" applyAlignment="1">
      <alignment horizontal="center" vertical="center"/>
    </xf>
    <xf numFmtId="0" fontId="0" fillId="0" borderId="16" xfId="0" applyBorder="1" applyAlignment="1">
      <alignment horizontal="center" vertical="center"/>
    </xf>
    <xf numFmtId="0" fontId="30" fillId="27" borderId="22" xfId="0" applyFont="1" applyFill="1" applyBorder="1" applyAlignment="1">
      <alignment horizontal="center" vertical="center"/>
    </xf>
    <xf numFmtId="0" fontId="26" fillId="0" borderId="0" xfId="0" applyFont="1" applyAlignment="1">
      <alignment vertical="top"/>
    </xf>
    <xf numFmtId="0" fontId="26" fillId="0" borderId="0" xfId="0" applyFont="1" applyAlignment="1">
      <alignment vertical="top" wrapText="1"/>
    </xf>
    <xf numFmtId="0" fontId="26" fillId="0" borderId="14" xfId="0" applyFont="1" applyBorder="1" applyAlignment="1">
      <alignment vertical="top" wrapText="1"/>
    </xf>
    <xf numFmtId="0" fontId="26" fillId="0" borderId="42" xfId="0" applyFont="1" applyBorder="1" applyAlignment="1">
      <alignment vertical="top" wrapText="1"/>
    </xf>
    <xf numFmtId="0" fontId="26" fillId="0" borderId="20" xfId="0" applyFont="1" applyBorder="1" applyAlignment="1">
      <alignment vertical="top" wrapText="1"/>
    </xf>
    <xf numFmtId="0" fontId="26" fillId="0" borderId="0" xfId="0" applyFont="1" applyAlignment="1">
      <alignment horizontal="right" vertical="center"/>
    </xf>
    <xf numFmtId="0" fontId="20" fillId="0" borderId="0" xfId="0" applyFont="1" applyAlignment="1">
      <alignment vertical="center" wrapText="1"/>
    </xf>
    <xf numFmtId="0" fontId="20" fillId="0" borderId="0" xfId="0" applyFont="1" applyAlignment="1">
      <alignment horizontal="center" vertical="center" wrapText="1"/>
    </xf>
    <xf numFmtId="0" fontId="20" fillId="0" borderId="42" xfId="0" applyFont="1" applyBorder="1" applyAlignment="1">
      <alignment horizontal="center" vertical="center" wrapText="1"/>
    </xf>
    <xf numFmtId="0" fontId="26" fillId="0" borderId="42" xfId="0" applyFont="1" applyBorder="1"/>
    <xf numFmtId="0" fontId="58" fillId="25" borderId="32" xfId="0" applyFont="1" applyFill="1" applyBorder="1" applyAlignment="1">
      <alignment vertical="top"/>
    </xf>
    <xf numFmtId="1" fontId="0" fillId="0" borderId="5" xfId="0" applyNumberFormat="1" applyBorder="1" applyAlignment="1">
      <alignment horizontal="center"/>
    </xf>
    <xf numFmtId="0" fontId="0" fillId="0" borderId="76" xfId="0" applyBorder="1"/>
    <xf numFmtId="0" fontId="0" fillId="0" borderId="77" xfId="0" applyBorder="1"/>
    <xf numFmtId="0" fontId="1" fillId="0" borderId="4" xfId="0" applyFont="1" applyBorder="1" applyAlignment="1">
      <alignment horizontal="center" vertical="center"/>
    </xf>
    <xf numFmtId="0" fontId="30" fillId="0" borderId="3" xfId="0" applyFont="1" applyBorder="1"/>
    <xf numFmtId="0" fontId="0" fillId="0" borderId="40" xfId="0" applyBorder="1" applyAlignment="1">
      <alignment horizontal="center" vertical="center"/>
    </xf>
    <xf numFmtId="0" fontId="82" fillId="17" borderId="22" xfId="0" applyFont="1" applyFill="1" applyBorder="1" applyAlignment="1">
      <alignment horizontal="left" vertical="top"/>
    </xf>
    <xf numFmtId="165" fontId="1" fillId="0" borderId="6" xfId="0" applyNumberFormat="1" applyFont="1" applyBorder="1" applyAlignment="1">
      <alignment horizontal="center" vertical="center"/>
    </xf>
    <xf numFmtId="165" fontId="0" fillId="0" borderId="0" xfId="0" applyNumberFormat="1"/>
    <xf numFmtId="0" fontId="0" fillId="0" borderId="41" xfId="0" applyBorder="1" applyAlignment="1">
      <alignment horizontal="left" vertical="top"/>
    </xf>
    <xf numFmtId="0" fontId="0" fillId="7" borderId="26" xfId="0" applyFill="1" applyBorder="1" applyAlignment="1">
      <alignment horizontal="left" vertical="top" wrapText="1"/>
    </xf>
    <xf numFmtId="0" fontId="0" fillId="7" borderId="23" xfId="0" applyFill="1" applyBorder="1" applyAlignment="1">
      <alignment horizontal="left" vertical="top"/>
    </xf>
    <xf numFmtId="0" fontId="0" fillId="7" borderId="10" xfId="0" applyFill="1" applyBorder="1" applyAlignment="1">
      <alignment horizontal="left" vertical="top"/>
    </xf>
    <xf numFmtId="0" fontId="0" fillId="7" borderId="27" xfId="0" applyFill="1" applyBorder="1" applyAlignment="1">
      <alignment horizontal="left" vertical="top"/>
    </xf>
    <xf numFmtId="0" fontId="0" fillId="7" borderId="28" xfId="0" applyFill="1" applyBorder="1" applyAlignment="1">
      <alignment horizontal="left" vertical="top"/>
    </xf>
    <xf numFmtId="0" fontId="1" fillId="0" borderId="41" xfId="0" applyFont="1" applyBorder="1" applyAlignment="1">
      <alignment horizontal="center"/>
    </xf>
    <xf numFmtId="1" fontId="0" fillId="14" borderId="41" xfId="0" applyNumberFormat="1" applyFill="1" applyBorder="1"/>
    <xf numFmtId="0" fontId="0" fillId="14" borderId="41" xfId="0" applyFill="1" applyBorder="1"/>
    <xf numFmtId="0" fontId="0" fillId="7" borderId="50" xfId="0" applyFill="1" applyBorder="1" applyAlignment="1">
      <alignment horizontal="center" vertical="center"/>
    </xf>
    <xf numFmtId="0" fontId="0" fillId="7" borderId="35" xfId="0" applyFill="1" applyBorder="1"/>
    <xf numFmtId="0" fontId="0" fillId="7" borderId="36" xfId="0" applyFill="1" applyBorder="1" applyAlignment="1">
      <alignment horizontal="left" vertical="top"/>
    </xf>
    <xf numFmtId="0" fontId="0" fillId="14" borderId="4" xfId="0" applyFill="1" applyBorder="1"/>
    <xf numFmtId="1" fontId="0" fillId="14" borderId="4" xfId="0" applyNumberFormat="1" applyFill="1" applyBorder="1"/>
    <xf numFmtId="0" fontId="0" fillId="14" borderId="5" xfId="0" applyFill="1" applyBorder="1"/>
    <xf numFmtId="0" fontId="0" fillId="21" borderId="18" xfId="0" applyFill="1" applyBorder="1"/>
    <xf numFmtId="0" fontId="0" fillId="21" borderId="36" xfId="0" applyFill="1" applyBorder="1"/>
    <xf numFmtId="0" fontId="1" fillId="7" borderId="60" xfId="0" applyFont="1" applyFill="1" applyBorder="1"/>
    <xf numFmtId="0" fontId="1" fillId="0" borderId="47" xfId="0" applyFont="1" applyBorder="1"/>
    <xf numFmtId="0" fontId="1" fillId="0" borderId="62" xfId="0" applyFont="1" applyBorder="1"/>
    <xf numFmtId="0" fontId="1" fillId="7" borderId="31" xfId="0" applyFont="1" applyFill="1" applyBorder="1"/>
    <xf numFmtId="0" fontId="1" fillId="0" borderId="51" xfId="0" applyFont="1" applyBorder="1"/>
    <xf numFmtId="0" fontId="1" fillId="7" borderId="49" xfId="0" applyFont="1" applyFill="1" applyBorder="1"/>
    <xf numFmtId="0" fontId="1" fillId="14" borderId="4" xfId="0" applyFont="1" applyFill="1" applyBorder="1"/>
    <xf numFmtId="0" fontId="1" fillId="14" borderId="5" xfId="0" applyFont="1" applyFill="1" applyBorder="1"/>
    <xf numFmtId="0" fontId="1" fillId="21" borderId="17" xfId="0" applyFont="1" applyFill="1" applyBorder="1"/>
    <xf numFmtId="0" fontId="1" fillId="0" borderId="35" xfId="0" applyFont="1" applyBorder="1"/>
    <xf numFmtId="0" fontId="1" fillId="21" borderId="35" xfId="0" applyFont="1" applyFill="1" applyBorder="1"/>
    <xf numFmtId="0" fontId="1" fillId="6" borderId="6" xfId="0" applyFont="1" applyFill="1" applyBorder="1"/>
    <xf numFmtId="0" fontId="0" fillId="6" borderId="6" xfId="0" applyFill="1" applyBorder="1"/>
    <xf numFmtId="0" fontId="0" fillId="0" borderId="45" xfId="0" applyBorder="1"/>
    <xf numFmtId="0" fontId="20" fillId="0" borderId="0" xfId="0" applyFont="1" applyAlignment="1">
      <alignment horizontal="right"/>
    </xf>
    <xf numFmtId="0" fontId="42" fillId="0" borderId="195" xfId="0" applyFont="1" applyBorder="1"/>
    <xf numFmtId="0" fontId="43" fillId="0" borderId="195" xfId="0" applyFont="1" applyBorder="1"/>
    <xf numFmtId="0" fontId="44" fillId="0" borderId="0" xfId="0" applyFont="1" applyAlignment="1">
      <alignment vertical="top"/>
    </xf>
    <xf numFmtId="0" fontId="44" fillId="0" borderId="26" xfId="0" applyFont="1" applyBorder="1" applyAlignment="1">
      <alignment vertical="top"/>
    </xf>
    <xf numFmtId="0" fontId="44" fillId="0" borderId="28" xfId="0" applyFont="1" applyBorder="1" applyAlignment="1">
      <alignment vertical="top"/>
    </xf>
    <xf numFmtId="0" fontId="20" fillId="4" borderId="80" xfId="0" applyFont="1" applyFill="1" applyBorder="1" applyAlignment="1">
      <alignment horizontal="center" vertical="center" wrapText="1"/>
    </xf>
    <xf numFmtId="0" fontId="0" fillId="7" borderId="25" xfId="0" applyFill="1" applyBorder="1" applyAlignment="1">
      <alignment horizontal="left" vertical="top"/>
    </xf>
    <xf numFmtId="165" fontId="0" fillId="0" borderId="34" xfId="0" applyNumberFormat="1" applyBorder="1" applyAlignment="1">
      <alignment horizontal="center" vertical="center"/>
    </xf>
    <xf numFmtId="0" fontId="58" fillId="4" borderId="40" xfId="0" applyFont="1" applyFill="1" applyBorder="1" applyAlignment="1">
      <alignment horizontal="center" vertical="center" wrapText="1"/>
    </xf>
    <xf numFmtId="0" fontId="0" fillId="24" borderId="4" xfId="0" applyFill="1" applyBorder="1"/>
    <xf numFmtId="0" fontId="1" fillId="24" borderId="6" xfId="0" applyFont="1" applyFill="1" applyBorder="1" applyAlignment="1">
      <alignment horizontal="center" vertical="center" wrapText="1"/>
    </xf>
    <xf numFmtId="0" fontId="0" fillId="24" borderId="0" xfId="0" applyFill="1"/>
    <xf numFmtId="1" fontId="1" fillId="2" borderId="4" xfId="0" applyNumberFormat="1" applyFont="1" applyFill="1" applyBorder="1" applyAlignment="1">
      <alignment horizontal="center" vertical="center"/>
    </xf>
    <xf numFmtId="1" fontId="0" fillId="0" borderId="5" xfId="0" applyNumberFormat="1" applyBorder="1" applyAlignment="1">
      <alignment horizontal="center" vertical="center"/>
    </xf>
    <xf numFmtId="1" fontId="0" fillId="0" borderId="6" xfId="0" applyNumberFormat="1" applyBorder="1"/>
    <xf numFmtId="1" fontId="1" fillId="2" borderId="41" xfId="0" applyNumberFormat="1" applyFont="1" applyFill="1" applyBorder="1" applyAlignment="1">
      <alignment horizontal="center" vertical="center"/>
    </xf>
    <xf numFmtId="1" fontId="0" fillId="0" borderId="4" xfId="0" applyNumberFormat="1" applyBorder="1" applyAlignment="1">
      <alignment horizontal="center" vertical="center"/>
    </xf>
    <xf numFmtId="1" fontId="0" fillId="0" borderId="6" xfId="0" applyNumberFormat="1" applyBorder="1" applyAlignment="1">
      <alignment horizontal="center"/>
    </xf>
    <xf numFmtId="1" fontId="1" fillId="0" borderId="41" xfId="0" applyNumberFormat="1" applyFont="1" applyBorder="1" applyAlignment="1">
      <alignment horizontal="center" vertical="center"/>
    </xf>
    <xf numFmtId="1" fontId="0" fillId="0" borderId="8" xfId="0" applyNumberFormat="1" applyBorder="1" applyAlignment="1">
      <alignment horizontal="center" vertical="center"/>
    </xf>
    <xf numFmtId="1" fontId="0" fillId="0" borderId="6" xfId="0" applyNumberFormat="1" applyBorder="1" applyAlignment="1">
      <alignment horizontal="center" vertical="center"/>
    </xf>
    <xf numFmtId="0" fontId="0" fillId="30" borderId="0" xfId="0" applyFill="1" applyAlignment="1">
      <alignment horizontal="center" vertical="center"/>
    </xf>
    <xf numFmtId="0" fontId="20" fillId="13" borderId="22" xfId="0" applyFont="1" applyFill="1" applyBorder="1" applyAlignment="1">
      <alignment horizontal="center" vertical="center" wrapText="1"/>
    </xf>
    <xf numFmtId="0" fontId="20" fillId="13" borderId="1" xfId="0" applyFont="1" applyFill="1" applyBorder="1" applyAlignment="1">
      <alignment horizontal="center" vertical="center" wrapText="1"/>
    </xf>
    <xf numFmtId="0" fontId="20" fillId="13" borderId="41" xfId="0" applyFont="1" applyFill="1" applyBorder="1" applyAlignment="1">
      <alignment horizontal="center" vertical="center"/>
    </xf>
    <xf numFmtId="0" fontId="20" fillId="13" borderId="1" xfId="0" applyFont="1" applyFill="1" applyBorder="1" applyAlignment="1">
      <alignment horizontal="center" vertical="center"/>
    </xf>
    <xf numFmtId="0" fontId="20" fillId="13" borderId="6" xfId="0" applyFont="1" applyFill="1" applyBorder="1" applyAlignment="1">
      <alignment horizontal="center" vertical="center"/>
    </xf>
    <xf numFmtId="0" fontId="20" fillId="13" borderId="4" xfId="0" applyFont="1" applyFill="1" applyBorder="1" applyAlignment="1">
      <alignment horizontal="center" vertical="center" wrapText="1"/>
    </xf>
    <xf numFmtId="0" fontId="20" fillId="13" borderId="0" xfId="0" applyFont="1" applyFill="1" applyAlignment="1">
      <alignment horizontal="center" vertical="center" wrapText="1"/>
    </xf>
    <xf numFmtId="0" fontId="20" fillId="13" borderId="80" xfId="0" applyFont="1" applyFill="1" applyBorder="1" applyAlignment="1">
      <alignment horizontal="center" vertical="center"/>
    </xf>
    <xf numFmtId="0" fontId="58" fillId="13" borderId="1" xfId="0" applyFont="1" applyFill="1" applyBorder="1" applyAlignment="1">
      <alignment horizontal="center" vertical="center" wrapText="1"/>
    </xf>
    <xf numFmtId="0" fontId="20" fillId="7" borderId="1" xfId="0" applyFont="1" applyFill="1" applyBorder="1"/>
    <xf numFmtId="0" fontId="20" fillId="7" borderId="1" xfId="0" applyFont="1" applyFill="1" applyBorder="1" applyAlignment="1">
      <alignment horizontal="center" vertical="center" wrapText="1"/>
    </xf>
    <xf numFmtId="164" fontId="0" fillId="0" borderId="0" xfId="0" applyNumberFormat="1" applyAlignment="1">
      <alignment horizontal="center"/>
    </xf>
    <xf numFmtId="164" fontId="0" fillId="5" borderId="0" xfId="0" applyNumberFormat="1" applyFill="1" applyAlignment="1">
      <alignment horizontal="center" vertical="center"/>
    </xf>
    <xf numFmtId="0" fontId="0" fillId="37" borderId="0" xfId="0" applyFill="1"/>
    <xf numFmtId="0" fontId="1" fillId="37" borderId="0" xfId="0" applyFont="1" applyFill="1" applyAlignment="1">
      <alignment horizontal="center" vertical="center"/>
    </xf>
    <xf numFmtId="164" fontId="0" fillId="37" borderId="0" xfId="0" applyNumberFormat="1" applyFill="1" applyAlignment="1">
      <alignment horizontal="center"/>
    </xf>
    <xf numFmtId="0" fontId="0" fillId="0" borderId="3" xfId="0" applyBorder="1" applyAlignment="1">
      <alignment horizontal="center"/>
    </xf>
    <xf numFmtId="0" fontId="0" fillId="0" borderId="0" xfId="0" applyAlignment="1">
      <alignment horizontal="center"/>
    </xf>
    <xf numFmtId="0" fontId="0" fillId="0" borderId="14" xfId="0" applyBorder="1" applyAlignment="1">
      <alignment horizontal="center"/>
    </xf>
    <xf numFmtId="0" fontId="20" fillId="7" borderId="32" xfId="0" applyFont="1" applyFill="1" applyBorder="1" applyAlignment="1">
      <alignment horizontal="center" vertical="center"/>
    </xf>
    <xf numFmtId="0" fontId="0" fillId="0" borderId="21" xfId="0" applyBorder="1" applyAlignment="1">
      <alignment horizontal="left" vertical="top" wrapText="1"/>
    </xf>
    <xf numFmtId="0" fontId="0" fillId="0" borderId="33" xfId="0" applyBorder="1" applyAlignment="1">
      <alignment horizontal="left" vertical="top" wrapText="1"/>
    </xf>
    <xf numFmtId="0" fontId="0" fillId="0" borderId="0" xfId="0" applyAlignment="1">
      <alignment horizontal="left" vertical="top"/>
    </xf>
    <xf numFmtId="0" fontId="20" fillId="7" borderId="21" xfId="0" applyFont="1" applyFill="1" applyBorder="1" applyAlignment="1">
      <alignment horizontal="center" vertical="center"/>
    </xf>
    <xf numFmtId="0" fontId="1" fillId="0" borderId="1" xfId="0" applyFont="1" applyFill="1" applyBorder="1"/>
    <xf numFmtId="0" fontId="0" fillId="0" borderId="1" xfId="0" applyFill="1" applyBorder="1"/>
    <xf numFmtId="0" fontId="58" fillId="13" borderId="1" xfId="0" applyFont="1" applyFill="1" applyBorder="1" applyAlignment="1">
      <alignment horizontal="center" vertical="top" wrapText="1"/>
    </xf>
    <xf numFmtId="0" fontId="19" fillId="0" borderId="0" xfId="0" applyFont="1" applyFill="1" applyAlignment="1">
      <alignment horizontal="left" vertical="top"/>
    </xf>
    <xf numFmtId="164" fontId="19" fillId="0" borderId="1" xfId="0" applyNumberFormat="1" applyFont="1" applyFill="1" applyBorder="1" applyAlignment="1">
      <alignment horizontal="left" vertical="center"/>
    </xf>
    <xf numFmtId="0" fontId="19" fillId="0" borderId="1" xfId="0" applyFont="1" applyFill="1" applyBorder="1" applyAlignment="1">
      <alignment horizontal="left" vertical="center"/>
    </xf>
    <xf numFmtId="0" fontId="19" fillId="0" borderId="1" xfId="0" applyFont="1" applyFill="1" applyBorder="1" applyAlignment="1">
      <alignment horizontal="left" vertical="center" wrapText="1"/>
    </xf>
    <xf numFmtId="0" fontId="19" fillId="0" borderId="22" xfId="0" applyFont="1" applyFill="1" applyBorder="1" applyAlignment="1">
      <alignment horizontal="left" vertical="center"/>
    </xf>
    <xf numFmtId="0" fontId="19" fillId="0" borderId="32" xfId="0" applyFont="1" applyFill="1" applyBorder="1" applyAlignment="1">
      <alignment horizontal="left" vertical="center"/>
    </xf>
    <xf numFmtId="0" fontId="19" fillId="0" borderId="21" xfId="0" applyFont="1" applyFill="1" applyBorder="1" applyAlignment="1">
      <alignment horizontal="left" vertical="center"/>
    </xf>
    <xf numFmtId="0" fontId="75" fillId="0" borderId="1" xfId="0" applyFont="1" applyFill="1" applyBorder="1" applyAlignment="1">
      <alignment horizontal="center" vertical="center"/>
    </xf>
    <xf numFmtId="1" fontId="19" fillId="0" borderId="1" xfId="0" applyNumberFormat="1" applyFont="1" applyFill="1" applyBorder="1" applyAlignment="1">
      <alignment horizontal="left" vertical="center"/>
    </xf>
    <xf numFmtId="0" fontId="19" fillId="0" borderId="1" xfId="0" applyFont="1" applyFill="1" applyBorder="1" applyAlignment="1">
      <alignment horizontal="center" vertical="center"/>
    </xf>
    <xf numFmtId="1" fontId="19" fillId="0" borderId="1" xfId="0" applyNumberFormat="1" applyFont="1" applyFill="1" applyBorder="1" applyAlignment="1">
      <alignment horizontal="center" vertical="center"/>
    </xf>
    <xf numFmtId="0" fontId="19" fillId="0" borderId="20" xfId="0" applyFont="1" applyFill="1" applyBorder="1" applyAlignment="1">
      <alignment horizontal="center" vertical="center"/>
    </xf>
    <xf numFmtId="165" fontId="19" fillId="0" borderId="1" xfId="0" applyNumberFormat="1" applyFont="1" applyFill="1" applyBorder="1" applyAlignment="1">
      <alignment horizontal="center" vertical="center"/>
    </xf>
    <xf numFmtId="0" fontId="75" fillId="0" borderId="1" xfId="0" applyFont="1" applyFill="1" applyBorder="1" applyAlignment="1">
      <alignment horizontal="left" vertical="center"/>
    </xf>
    <xf numFmtId="0" fontId="19" fillId="0" borderId="15" xfId="0" applyFont="1" applyFill="1" applyBorder="1" applyAlignment="1">
      <alignment horizontal="left" vertical="center"/>
    </xf>
    <xf numFmtId="0" fontId="0" fillId="0" borderId="1" xfId="0" applyFill="1" applyBorder="1" applyAlignment="1">
      <alignment horizontal="center" vertical="center"/>
    </xf>
    <xf numFmtId="0" fontId="19" fillId="0" borderId="0" xfId="0" applyFont="1" applyFill="1" applyAlignment="1">
      <alignment horizontal="left" vertical="center"/>
    </xf>
    <xf numFmtId="0" fontId="75" fillId="35" borderId="1" xfId="0" applyFont="1" applyFill="1" applyBorder="1" applyAlignment="1">
      <alignment horizontal="right" vertical="center"/>
    </xf>
    <xf numFmtId="0" fontId="0" fillId="0" borderId="41" xfId="0" applyFill="1" applyBorder="1" applyAlignment="1">
      <alignment horizontal="center" vertical="top"/>
    </xf>
    <xf numFmtId="0" fontId="20" fillId="16" borderId="14" xfId="0" applyFont="1" applyFill="1" applyBorder="1" applyAlignment="1">
      <alignment horizontal="center" vertical="center"/>
    </xf>
    <xf numFmtId="0" fontId="0" fillId="0" borderId="0" xfId="0" applyFill="1"/>
    <xf numFmtId="0" fontId="76" fillId="0" borderId="0" xfId="0" applyFont="1" applyFill="1" applyBorder="1" applyAlignment="1">
      <alignment horizontal="right" vertical="center"/>
    </xf>
    <xf numFmtId="0" fontId="0" fillId="0" borderId="0" xfId="0" applyFill="1" applyBorder="1"/>
    <xf numFmtId="0" fontId="0" fillId="0" borderId="0" xfId="0" applyFill="1" applyBorder="1" applyAlignment="1">
      <alignment horizontal="center" vertical="center"/>
    </xf>
    <xf numFmtId="0" fontId="0" fillId="0" borderId="0" xfId="0" applyBorder="1"/>
    <xf numFmtId="0" fontId="0" fillId="0" borderId="3" xfId="0" applyFill="1" applyBorder="1"/>
    <xf numFmtId="49" fontId="0" fillId="0" borderId="3" xfId="0" applyNumberFormat="1" applyFill="1" applyBorder="1" applyAlignment="1"/>
    <xf numFmtId="0" fontId="0" fillId="0" borderId="3" xfId="0" applyFill="1" applyBorder="1" applyAlignment="1"/>
    <xf numFmtId="0" fontId="63" fillId="0" borderId="0" xfId="0" applyFont="1" applyBorder="1" applyAlignment="1">
      <alignment horizontal="center"/>
    </xf>
    <xf numFmtId="0" fontId="63" fillId="0" borderId="0" xfId="0" applyFont="1" applyBorder="1" applyAlignment="1">
      <alignment horizontal="center" vertical="center"/>
    </xf>
    <xf numFmtId="0" fontId="52" fillId="14" borderId="21" xfId="0" applyFont="1" applyFill="1" applyBorder="1" applyAlignment="1">
      <alignment horizontal="right"/>
    </xf>
    <xf numFmtId="0" fontId="52" fillId="0" borderId="0" xfId="0" applyFont="1" applyFill="1" applyAlignment="1">
      <alignment horizontal="center"/>
    </xf>
    <xf numFmtId="0" fontId="52" fillId="0" borderId="0" xfId="0" applyFont="1" applyFill="1" applyAlignment="1">
      <alignment horizontal="right"/>
    </xf>
    <xf numFmtId="0" fontId="52" fillId="0" borderId="0" xfId="0" applyFont="1" applyBorder="1" applyAlignment="1">
      <alignment horizontal="right"/>
    </xf>
    <xf numFmtId="0" fontId="0" fillId="0" borderId="0" xfId="0" applyBorder="1" applyAlignment="1">
      <alignment horizontal="center"/>
    </xf>
    <xf numFmtId="0" fontId="0" fillId="0" borderId="0" xfId="0" applyBorder="1" applyAlignment="1">
      <alignment horizontal="center" vertical="center"/>
    </xf>
    <xf numFmtId="0" fontId="75" fillId="0" borderId="1" xfId="0" applyFont="1" applyFill="1" applyBorder="1" applyAlignment="1">
      <alignment horizontal="right" vertical="center"/>
    </xf>
    <xf numFmtId="0" fontId="0" fillId="0" borderId="22" xfId="0" applyFill="1" applyBorder="1"/>
    <xf numFmtId="0" fontId="0" fillId="0" borderId="41" xfId="0" applyFill="1" applyBorder="1"/>
    <xf numFmtId="0" fontId="0" fillId="0" borderId="0" xfId="0" quotePrefix="1" applyAlignment="1">
      <alignment horizontal="center" vertical="center"/>
    </xf>
    <xf numFmtId="0" fontId="42" fillId="2" borderId="0" xfId="0" applyFont="1" applyFill="1" applyAlignment="1">
      <alignment horizontal="center" vertical="center"/>
    </xf>
    <xf numFmtId="0" fontId="0" fillId="3" borderId="0" xfId="0" applyFill="1" applyAlignment="1">
      <alignment horizontal="center" vertical="center"/>
    </xf>
    <xf numFmtId="0" fontId="0" fillId="3" borderId="0" xfId="0" applyFill="1" applyAlignment="1">
      <alignment horizontal="center" vertical="top"/>
    </xf>
    <xf numFmtId="0" fontId="0" fillId="0" borderId="22" xfId="0" applyFill="1" applyBorder="1" applyAlignment="1">
      <alignment horizontal="center" vertical="center"/>
    </xf>
    <xf numFmtId="0" fontId="0" fillId="4" borderId="8" xfId="0" applyFill="1" applyBorder="1"/>
    <xf numFmtId="0" fontId="0" fillId="4" borderId="7" xfId="0" applyFill="1" applyBorder="1"/>
    <xf numFmtId="0" fontId="20" fillId="4" borderId="5" xfId="0" applyFont="1" applyFill="1" applyBorder="1" applyAlignment="1">
      <alignment horizontal="center" vertical="center"/>
    </xf>
    <xf numFmtId="0" fontId="58" fillId="25" borderId="21" xfId="0" applyFont="1" applyFill="1" applyBorder="1" applyAlignment="1">
      <alignment horizontal="center" vertical="center" wrapText="1"/>
    </xf>
    <xf numFmtId="0" fontId="20" fillId="2" borderId="14" xfId="0" applyFont="1" applyFill="1" applyBorder="1" applyAlignment="1">
      <alignment horizontal="center" vertical="center"/>
    </xf>
    <xf numFmtId="0" fontId="0" fillId="7" borderId="33" xfId="0" applyFill="1" applyBorder="1" applyAlignment="1">
      <alignment horizontal="center" vertical="center"/>
    </xf>
    <xf numFmtId="0" fontId="0" fillId="7" borderId="33" xfId="0" applyFill="1" applyBorder="1" applyAlignment="1">
      <alignment horizontal="right" vertical="center"/>
    </xf>
    <xf numFmtId="0" fontId="0" fillId="7" borderId="32" xfId="0" applyFill="1" applyBorder="1"/>
    <xf numFmtId="0" fontId="1" fillId="8" borderId="4" xfId="0" applyFont="1" applyFill="1" applyBorder="1" applyAlignment="1">
      <alignment horizontal="center" vertical="center"/>
    </xf>
    <xf numFmtId="0" fontId="1" fillId="8" borderId="5" xfId="0" applyFont="1" applyFill="1" applyBorder="1" applyAlignment="1">
      <alignment horizontal="center" vertical="center"/>
    </xf>
    <xf numFmtId="0" fontId="1" fillId="8" borderId="6" xfId="0" applyFont="1" applyFill="1" applyBorder="1" applyAlignment="1">
      <alignment horizontal="center" vertical="center"/>
    </xf>
    <xf numFmtId="0" fontId="20" fillId="16" borderId="80" xfId="0" applyFont="1" applyFill="1" applyBorder="1" applyAlignment="1">
      <alignment horizontal="center" vertical="center"/>
    </xf>
    <xf numFmtId="0" fontId="0" fillId="36" borderId="151" xfId="0" applyFill="1" applyBorder="1" applyAlignment="1">
      <alignment horizontal="left" vertical="top"/>
    </xf>
    <xf numFmtId="0" fontId="76" fillId="31" borderId="28" xfId="0" applyFont="1" applyFill="1" applyBorder="1" applyAlignment="1">
      <alignment horizontal="left" vertical="top"/>
    </xf>
    <xf numFmtId="0" fontId="0" fillId="0" borderId="0" xfId="0" applyFill="1" applyAlignment="1">
      <alignment horizontal="left" vertical="top"/>
    </xf>
    <xf numFmtId="0" fontId="0" fillId="0" borderId="0" xfId="0" applyFill="1" applyBorder="1" applyAlignment="1">
      <alignment horizontal="left" vertical="top"/>
    </xf>
    <xf numFmtId="0" fontId="76" fillId="31" borderId="6" xfId="0" applyFont="1" applyFill="1" applyBorder="1" applyAlignment="1">
      <alignment horizontal="left" vertical="top"/>
    </xf>
    <xf numFmtId="0" fontId="75" fillId="13" borderId="6" xfId="0" applyFont="1" applyFill="1" applyBorder="1" applyAlignment="1">
      <alignment horizontal="left" vertical="top"/>
    </xf>
    <xf numFmtId="0" fontId="76" fillId="0" borderId="0" xfId="0" applyFont="1" applyFill="1" applyBorder="1" applyAlignment="1">
      <alignment horizontal="left" vertical="top"/>
    </xf>
    <xf numFmtId="0" fontId="18" fillId="0" borderId="40" xfId="0" applyFont="1" applyBorder="1"/>
    <xf numFmtId="0" fontId="0" fillId="2" borderId="0" xfId="0" applyFill="1" applyAlignment="1">
      <alignment horizontal="center" vertical="center"/>
    </xf>
    <xf numFmtId="0" fontId="0" fillId="18" borderId="0" xfId="0" applyFill="1"/>
    <xf numFmtId="1" fontId="0" fillId="0" borderId="0" xfId="0" applyNumberFormat="1" applyBorder="1" applyAlignment="1">
      <alignment horizontal="center" vertical="center"/>
    </xf>
    <xf numFmtId="1" fontId="0" fillId="0" borderId="0" xfId="0" applyNumberFormat="1" applyBorder="1"/>
    <xf numFmtId="0" fontId="0" fillId="21" borderId="24" xfId="0" applyFill="1" applyBorder="1"/>
    <xf numFmtId="0" fontId="0" fillId="21" borderId="23" xfId="0" applyFill="1" applyBorder="1"/>
    <xf numFmtId="0" fontId="75" fillId="0" borderId="32" xfId="0" applyFont="1" applyFill="1" applyBorder="1" applyAlignment="1">
      <alignment horizontal="left" vertical="center"/>
    </xf>
    <xf numFmtId="0" fontId="0" fillId="31" borderId="0" xfId="0" applyFill="1" applyAlignment="1">
      <alignment horizontal="left" vertical="top"/>
    </xf>
    <xf numFmtId="0" fontId="26" fillId="2" borderId="2" xfId="0" applyFont="1" applyFill="1" applyBorder="1" applyAlignment="1">
      <alignment horizontal="left" vertical="top" wrapText="1"/>
    </xf>
    <xf numFmtId="0" fontId="26" fillId="2" borderId="16" xfId="0" applyFont="1" applyFill="1" applyBorder="1" applyAlignment="1">
      <alignment horizontal="left" vertical="top" wrapText="1"/>
    </xf>
    <xf numFmtId="0" fontId="26" fillId="2" borderId="3" xfId="0" applyFont="1" applyFill="1" applyBorder="1" applyAlignment="1">
      <alignment horizontal="left" vertical="top" wrapText="1"/>
    </xf>
    <xf numFmtId="0" fontId="26" fillId="2" borderId="14" xfId="0" applyFont="1" applyFill="1" applyBorder="1" applyAlignment="1">
      <alignment horizontal="left" vertical="top" wrapText="1"/>
    </xf>
    <xf numFmtId="0" fontId="26" fillId="2" borderId="19" xfId="0" applyFont="1" applyFill="1" applyBorder="1" applyAlignment="1">
      <alignment horizontal="left" vertical="top" wrapText="1"/>
    </xf>
    <xf numFmtId="0" fontId="26" fillId="2" borderId="20" xfId="0" applyFont="1" applyFill="1" applyBorder="1" applyAlignment="1">
      <alignment horizontal="left" vertical="top" wrapText="1"/>
    </xf>
    <xf numFmtId="0" fontId="26" fillId="2" borderId="34" xfId="0" applyFont="1" applyFill="1" applyBorder="1" applyAlignment="1">
      <alignment horizontal="left" vertical="top" wrapText="1"/>
    </xf>
    <xf numFmtId="0" fontId="26" fillId="2" borderId="42" xfId="0" applyFont="1" applyFill="1" applyBorder="1" applyAlignment="1">
      <alignment horizontal="left" vertical="top" wrapText="1"/>
    </xf>
    <xf numFmtId="0" fontId="26" fillId="0" borderId="42" xfId="0" applyFont="1" applyBorder="1" applyAlignment="1">
      <alignment horizontal="center" vertical="top" wrapText="1"/>
    </xf>
    <xf numFmtId="0" fontId="20" fillId="13" borderId="21" xfId="0" applyFont="1" applyFill="1" applyBorder="1" applyAlignment="1">
      <alignment horizontal="center" vertical="top" wrapText="1"/>
    </xf>
    <xf numFmtId="0" fontId="20" fillId="13" borderId="32" xfId="0" applyFont="1" applyFill="1" applyBorder="1" applyAlignment="1">
      <alignment horizontal="center" vertical="top" wrapText="1"/>
    </xf>
    <xf numFmtId="0" fontId="26" fillId="2" borderId="29" xfId="0" applyFont="1" applyFill="1" applyBorder="1" applyAlignment="1">
      <alignment horizontal="left" vertical="top" wrapText="1"/>
    </xf>
    <xf numFmtId="0" fontId="26" fillId="2" borderId="44" xfId="0" applyFont="1" applyFill="1" applyBorder="1" applyAlignment="1">
      <alignment horizontal="left" vertical="top" wrapText="1"/>
    </xf>
    <xf numFmtId="0" fontId="26" fillId="2" borderId="30" xfId="0" applyFont="1" applyFill="1" applyBorder="1" applyAlignment="1">
      <alignment horizontal="left" vertical="top" wrapText="1"/>
    </xf>
    <xf numFmtId="0" fontId="26" fillId="13" borderId="32" xfId="0" applyFont="1" applyFill="1" applyBorder="1" applyAlignment="1">
      <alignment horizontal="center" vertical="top" wrapText="1"/>
    </xf>
    <xf numFmtId="0" fontId="20" fillId="14" borderId="21" xfId="0" applyFont="1" applyFill="1" applyBorder="1" applyAlignment="1">
      <alignment horizontal="center" vertical="top"/>
    </xf>
    <xf numFmtId="0" fontId="20" fillId="14" borderId="33" xfId="0" applyFont="1" applyFill="1" applyBorder="1" applyAlignment="1">
      <alignment horizontal="center" vertical="top"/>
    </xf>
    <xf numFmtId="0" fontId="20" fillId="14" borderId="32" xfId="0" applyFont="1" applyFill="1" applyBorder="1" applyAlignment="1">
      <alignment horizontal="center" vertical="top"/>
    </xf>
    <xf numFmtId="0" fontId="80" fillId="4" borderId="2" xfId="0" applyFont="1" applyFill="1" applyBorder="1" applyAlignment="1">
      <alignment horizontal="left" vertical="top" wrapText="1"/>
    </xf>
    <xf numFmtId="0" fontId="80" fillId="4" borderId="16" xfId="0" applyFont="1" applyFill="1" applyBorder="1" applyAlignment="1">
      <alignment horizontal="left" vertical="top" wrapText="1"/>
    </xf>
    <xf numFmtId="0" fontId="80" fillId="4" borderId="3" xfId="0" applyFont="1" applyFill="1" applyBorder="1" applyAlignment="1">
      <alignment horizontal="left" vertical="top" wrapText="1"/>
    </xf>
    <xf numFmtId="0" fontId="80" fillId="4" borderId="14" xfId="0" applyFont="1" applyFill="1" applyBorder="1" applyAlignment="1">
      <alignment horizontal="left" vertical="top" wrapText="1"/>
    </xf>
    <xf numFmtId="0" fontId="80" fillId="4" borderId="19" xfId="0" applyFont="1" applyFill="1" applyBorder="1" applyAlignment="1">
      <alignment horizontal="left" vertical="top" wrapText="1"/>
    </xf>
    <xf numFmtId="0" fontId="80" fillId="4" borderId="20" xfId="0" applyFont="1" applyFill="1" applyBorder="1" applyAlignment="1">
      <alignment horizontal="left" vertical="top" wrapText="1"/>
    </xf>
    <xf numFmtId="0" fontId="26" fillId="6" borderId="2" xfId="0" applyFont="1" applyFill="1" applyBorder="1" applyAlignment="1">
      <alignment horizontal="left" vertical="top" wrapText="1"/>
    </xf>
    <xf numFmtId="0" fontId="26" fillId="6" borderId="34" xfId="0" applyFont="1" applyFill="1" applyBorder="1" applyAlignment="1">
      <alignment horizontal="left" vertical="top" wrapText="1"/>
    </xf>
    <xf numFmtId="0" fontId="26" fillId="6" borderId="16" xfId="0" applyFont="1" applyFill="1" applyBorder="1" applyAlignment="1">
      <alignment horizontal="left" vertical="top" wrapText="1"/>
    </xf>
    <xf numFmtId="0" fontId="26" fillId="6" borderId="3" xfId="0" applyFont="1" applyFill="1" applyBorder="1" applyAlignment="1">
      <alignment horizontal="left" vertical="top" wrapText="1"/>
    </xf>
    <xf numFmtId="0" fontId="26" fillId="6" borderId="0" xfId="0" applyFont="1" applyFill="1" applyAlignment="1">
      <alignment horizontal="left" vertical="top" wrapText="1"/>
    </xf>
    <xf numFmtId="0" fontId="26" fillId="6" borderId="14" xfId="0" applyFont="1" applyFill="1" applyBorder="1" applyAlignment="1">
      <alignment horizontal="left" vertical="top" wrapText="1"/>
    </xf>
    <xf numFmtId="0" fontId="26" fillId="6" borderId="19" xfId="0" applyFont="1" applyFill="1" applyBorder="1" applyAlignment="1">
      <alignment horizontal="left" vertical="top" wrapText="1"/>
    </xf>
    <xf numFmtId="0" fontId="26" fillId="6" borderId="42" xfId="0" applyFont="1" applyFill="1" applyBorder="1" applyAlignment="1">
      <alignment horizontal="left" vertical="top" wrapText="1"/>
    </xf>
    <xf numFmtId="0" fontId="26" fillId="6" borderId="20" xfId="0" applyFont="1" applyFill="1" applyBorder="1" applyAlignment="1">
      <alignment horizontal="left" vertical="top" wrapText="1"/>
    </xf>
    <xf numFmtId="0" fontId="26" fillId="2" borderId="0" xfId="0" applyFont="1" applyFill="1" applyAlignment="1">
      <alignment horizontal="left" vertical="top" wrapText="1"/>
    </xf>
    <xf numFmtId="0" fontId="58" fillId="0" borderId="21" xfId="0" applyFont="1" applyBorder="1" applyAlignment="1">
      <alignment horizontal="center" vertical="center"/>
    </xf>
    <xf numFmtId="0" fontId="58" fillId="0" borderId="32" xfId="0" applyFont="1" applyBorder="1" applyAlignment="1">
      <alignment horizontal="center" vertical="center"/>
    </xf>
    <xf numFmtId="0" fontId="20" fillId="0" borderId="2" xfId="0" applyFont="1" applyBorder="1" applyAlignment="1">
      <alignment horizontal="center"/>
    </xf>
    <xf numFmtId="0" fontId="20" fillId="0" borderId="16" xfId="0" applyFont="1" applyBorder="1" applyAlignment="1">
      <alignment horizontal="center"/>
    </xf>
    <xf numFmtId="0" fontId="40" fillId="13" borderId="117" xfId="0" applyFont="1" applyFill="1" applyBorder="1" applyAlignment="1">
      <alignment horizontal="left" vertical="top"/>
    </xf>
    <xf numFmtId="0" fontId="40" fillId="13" borderId="118" xfId="0" applyFont="1" applyFill="1" applyBorder="1" applyAlignment="1">
      <alignment horizontal="left" vertical="top"/>
    </xf>
    <xf numFmtId="0" fontId="40" fillId="13" borderId="119" xfId="0" applyFont="1" applyFill="1" applyBorder="1" applyAlignment="1">
      <alignment horizontal="left" vertical="top"/>
    </xf>
    <xf numFmtId="0" fontId="20" fillId="7" borderId="3" xfId="0" applyFont="1" applyFill="1" applyBorder="1" applyAlignment="1">
      <alignment horizontal="left" vertical="top" wrapText="1"/>
    </xf>
    <xf numFmtId="0" fontId="20" fillId="7" borderId="0" xfId="0" applyFont="1" applyFill="1" applyAlignment="1">
      <alignment horizontal="left" vertical="top" wrapText="1"/>
    </xf>
    <xf numFmtId="0" fontId="20" fillId="7" borderId="14" xfId="0" applyFont="1" applyFill="1" applyBorder="1" applyAlignment="1">
      <alignment horizontal="left" vertical="top" wrapText="1"/>
    </xf>
    <xf numFmtId="0" fontId="51" fillId="7" borderId="19" xfId="0" applyFont="1" applyFill="1" applyBorder="1" applyAlignment="1">
      <alignment horizontal="left" vertical="top" wrapText="1"/>
    </xf>
    <xf numFmtId="0" fontId="22" fillId="7" borderId="42" xfId="0" applyFont="1" applyFill="1" applyBorder="1" applyAlignment="1">
      <alignment horizontal="left" vertical="top"/>
    </xf>
    <xf numFmtId="0" fontId="26" fillId="2" borderId="40" xfId="0" applyFont="1" applyFill="1" applyBorder="1" applyAlignment="1">
      <alignment horizontal="left" vertical="top" wrapText="1"/>
    </xf>
    <xf numFmtId="0" fontId="26" fillId="2" borderId="41" xfId="0" applyFont="1" applyFill="1" applyBorder="1" applyAlignment="1">
      <alignment horizontal="left" vertical="top" wrapText="1"/>
    </xf>
    <xf numFmtId="0" fontId="26" fillId="2" borderId="22" xfId="0" applyFont="1" applyFill="1" applyBorder="1" applyAlignment="1">
      <alignment horizontal="left" vertical="top" wrapText="1"/>
    </xf>
    <xf numFmtId="0" fontId="58" fillId="9" borderId="21" xfId="0" applyFont="1" applyFill="1" applyBorder="1" applyAlignment="1">
      <alignment horizontal="center" vertical="center"/>
    </xf>
    <xf numFmtId="0" fontId="58" fillId="9" borderId="33" xfId="0" applyFont="1" applyFill="1" applyBorder="1" applyAlignment="1">
      <alignment horizontal="center" vertical="center"/>
    </xf>
    <xf numFmtId="0" fontId="58" fillId="9" borderId="32" xfId="0" applyFont="1" applyFill="1" applyBorder="1" applyAlignment="1">
      <alignment horizontal="center" vertical="center"/>
    </xf>
    <xf numFmtId="0" fontId="51" fillId="2" borderId="21" xfId="0" applyFont="1" applyFill="1" applyBorder="1" applyAlignment="1">
      <alignment horizontal="center" vertical="center" wrapText="1"/>
    </xf>
    <xf numFmtId="0" fontId="51" fillId="2" borderId="32" xfId="0" applyFont="1" applyFill="1" applyBorder="1" applyAlignment="1">
      <alignment horizontal="center" vertical="center" wrapText="1"/>
    </xf>
    <xf numFmtId="0" fontId="26" fillId="2" borderId="21" xfId="0" applyFont="1" applyFill="1" applyBorder="1" applyAlignment="1">
      <alignment horizontal="left" vertical="top" wrapText="1"/>
    </xf>
    <xf numFmtId="0" fontId="26" fillId="2" borderId="33" xfId="0" applyFont="1" applyFill="1" applyBorder="1" applyAlignment="1">
      <alignment horizontal="left" vertical="top" wrapText="1"/>
    </xf>
    <xf numFmtId="0" fontId="26" fillId="2" borderId="32" xfId="0" applyFont="1" applyFill="1" applyBorder="1" applyAlignment="1">
      <alignment horizontal="left" vertical="top" wrapText="1"/>
    </xf>
    <xf numFmtId="0" fontId="0" fillId="7" borderId="33" xfId="0" applyFill="1" applyBorder="1" applyAlignment="1">
      <alignment horizontal="center"/>
    </xf>
    <xf numFmtId="0" fontId="20" fillId="7" borderId="21" xfId="0" applyFont="1" applyFill="1" applyBorder="1" applyAlignment="1">
      <alignment horizontal="center" vertical="center" wrapText="1"/>
    </xf>
    <xf numFmtId="0" fontId="20" fillId="7" borderId="32" xfId="0" applyFont="1" applyFill="1" applyBorder="1" applyAlignment="1">
      <alignment horizontal="center" vertical="center"/>
    </xf>
    <xf numFmtId="0" fontId="20" fillId="8" borderId="21" xfId="0" applyFont="1" applyFill="1" applyBorder="1" applyAlignment="1">
      <alignment horizontal="center" vertical="top"/>
    </xf>
    <xf numFmtId="0" fontId="20" fillId="8" borderId="33" xfId="0" applyFont="1" applyFill="1" applyBorder="1" applyAlignment="1">
      <alignment horizontal="center" vertical="top"/>
    </xf>
    <xf numFmtId="0" fontId="20" fillId="8" borderId="32" xfId="0" applyFont="1" applyFill="1" applyBorder="1" applyAlignment="1">
      <alignment horizontal="center" vertical="top"/>
    </xf>
    <xf numFmtId="0" fontId="20" fillId="0" borderId="42" xfId="0" applyFont="1" applyBorder="1" applyAlignment="1">
      <alignment horizontal="left" vertical="top"/>
    </xf>
    <xf numFmtId="0" fontId="1" fillId="19" borderId="0" xfId="0" applyFont="1" applyFill="1" applyAlignment="1">
      <alignment horizontal="left" vertical="top"/>
    </xf>
    <xf numFmtId="0" fontId="1" fillId="19" borderId="14" xfId="0" applyFont="1" applyFill="1" applyBorder="1" applyAlignment="1">
      <alignment horizontal="left" vertical="top"/>
    </xf>
    <xf numFmtId="0" fontId="51" fillId="4" borderId="21" xfId="0" applyFont="1" applyFill="1" applyBorder="1" applyAlignment="1">
      <alignment horizontal="center" vertical="top" wrapText="1"/>
    </xf>
    <xf numFmtId="0" fontId="51" fillId="4" borderId="32" xfId="0" applyFont="1" applyFill="1" applyBorder="1" applyAlignment="1">
      <alignment horizontal="center" vertical="top" wrapText="1"/>
    </xf>
    <xf numFmtId="0" fontId="20" fillId="5" borderId="21" xfId="0" applyFont="1" applyFill="1" applyBorder="1" applyAlignment="1">
      <alignment horizontal="center"/>
    </xf>
    <xf numFmtId="0" fontId="20" fillId="5" borderId="33" xfId="0" applyFont="1" applyFill="1" applyBorder="1" applyAlignment="1">
      <alignment horizontal="center"/>
    </xf>
    <xf numFmtId="0" fontId="20" fillId="5" borderId="32" xfId="0" applyFont="1" applyFill="1" applyBorder="1" applyAlignment="1">
      <alignment horizontal="center"/>
    </xf>
    <xf numFmtId="0" fontId="83" fillId="7" borderId="46" xfId="1" applyFont="1" applyFill="1" applyBorder="1" applyAlignment="1">
      <alignment horizontal="center"/>
    </xf>
    <xf numFmtId="0" fontId="20" fillId="2" borderId="21" xfId="0" applyFont="1" applyFill="1" applyBorder="1" applyAlignment="1">
      <alignment horizontal="center" vertical="center"/>
    </xf>
    <xf numFmtId="0" fontId="20" fillId="2" borderId="32" xfId="0" applyFont="1" applyFill="1" applyBorder="1" applyAlignment="1">
      <alignment horizontal="center" vertical="center"/>
    </xf>
    <xf numFmtId="0" fontId="20" fillId="4" borderId="40" xfId="0" applyFont="1" applyFill="1" applyBorder="1" applyAlignment="1">
      <alignment horizontal="center" vertical="center" wrapText="1"/>
    </xf>
    <xf numFmtId="0" fontId="20" fillId="4" borderId="41" xfId="0" applyFont="1" applyFill="1" applyBorder="1" applyAlignment="1">
      <alignment horizontal="center" vertical="center" wrapText="1"/>
    </xf>
    <xf numFmtId="0" fontId="20" fillId="4" borderId="7" xfId="0" applyFont="1" applyFill="1" applyBorder="1" applyAlignment="1">
      <alignment horizontal="center" vertical="center" wrapText="1"/>
    </xf>
    <xf numFmtId="0" fontId="20" fillId="0" borderId="11" xfId="0" applyFont="1" applyBorder="1" applyAlignment="1">
      <alignment horizontal="center"/>
    </xf>
    <xf numFmtId="0" fontId="20" fillId="0" borderId="4" xfId="0" applyFont="1" applyBorder="1" applyAlignment="1">
      <alignment horizontal="center"/>
    </xf>
    <xf numFmtId="0" fontId="20" fillId="0" borderId="171" xfId="0" applyFont="1" applyBorder="1" applyAlignment="1">
      <alignment horizontal="center"/>
    </xf>
    <xf numFmtId="0" fontId="20" fillId="0" borderId="136" xfId="0" applyFont="1" applyBorder="1" applyAlignment="1">
      <alignment horizontal="center"/>
    </xf>
    <xf numFmtId="0" fontId="70" fillId="17" borderId="2" xfId="0" applyFont="1" applyFill="1" applyBorder="1" applyAlignment="1">
      <alignment horizontal="center" vertical="center"/>
    </xf>
    <xf numFmtId="0" fontId="70" fillId="17" borderId="34" xfId="0" applyFont="1" applyFill="1" applyBorder="1" applyAlignment="1">
      <alignment horizontal="center" vertical="center"/>
    </xf>
    <xf numFmtId="0" fontId="70" fillId="17" borderId="16" xfId="0" applyFont="1" applyFill="1" applyBorder="1" applyAlignment="1">
      <alignment horizontal="center" vertical="center"/>
    </xf>
    <xf numFmtId="0" fontId="20" fillId="4" borderId="41" xfId="0" applyFont="1" applyFill="1" applyBorder="1" applyAlignment="1">
      <alignment horizontal="center" vertical="center"/>
    </xf>
    <xf numFmtId="0" fontId="20" fillId="4" borderId="22" xfId="0" applyFont="1" applyFill="1" applyBorder="1" applyAlignment="1">
      <alignment horizontal="center" vertical="center"/>
    </xf>
    <xf numFmtId="0" fontId="20" fillId="4" borderId="40" xfId="0" applyFont="1" applyFill="1" applyBorder="1" applyAlignment="1">
      <alignment horizontal="center" vertical="center"/>
    </xf>
    <xf numFmtId="0" fontId="26" fillId="4" borderId="41" xfId="0" applyFont="1" applyFill="1" applyBorder="1" applyAlignment="1">
      <alignment horizontal="center" vertical="center"/>
    </xf>
    <xf numFmtId="0" fontId="20" fillId="0" borderId="182" xfId="0" applyFont="1" applyBorder="1" applyAlignment="1">
      <alignment horizontal="center" vertical="center"/>
    </xf>
    <xf numFmtId="0" fontId="20" fillId="0" borderId="137" xfId="0" applyFont="1" applyBorder="1" applyAlignment="1">
      <alignment horizontal="center" vertical="center"/>
    </xf>
    <xf numFmtId="0" fontId="20" fillId="0" borderId="176" xfId="0" applyFont="1" applyBorder="1" applyAlignment="1">
      <alignment horizontal="center" vertical="center"/>
    </xf>
    <xf numFmtId="0" fontId="20" fillId="0" borderId="177" xfId="0" applyFont="1" applyBorder="1" applyAlignment="1">
      <alignment horizontal="center" vertical="center"/>
    </xf>
    <xf numFmtId="0" fontId="20" fillId="0" borderId="2" xfId="0" applyFont="1" applyBorder="1" applyAlignment="1">
      <alignment horizontal="center" vertical="center"/>
    </xf>
    <xf numFmtId="0" fontId="20" fillId="0" borderId="3" xfId="0" applyFont="1" applyBorder="1" applyAlignment="1">
      <alignment horizontal="center" vertical="center"/>
    </xf>
    <xf numFmtId="0" fontId="20" fillId="0" borderId="180" xfId="0" applyFont="1" applyBorder="1" applyAlignment="1">
      <alignment horizontal="center" vertical="center"/>
    </xf>
    <xf numFmtId="0" fontId="20" fillId="0" borderId="175" xfId="0" applyFont="1" applyBorder="1" applyAlignment="1">
      <alignment horizontal="center" vertical="center"/>
    </xf>
    <xf numFmtId="0" fontId="20" fillId="0" borderId="4" xfId="0" applyFont="1" applyBorder="1" applyAlignment="1">
      <alignment horizontal="center" vertical="top"/>
    </xf>
    <xf numFmtId="0" fontId="20" fillId="0" borderId="5" xfId="0" applyFont="1" applyBorder="1" applyAlignment="1">
      <alignment horizontal="center" vertical="top"/>
    </xf>
    <xf numFmtId="0" fontId="20" fillId="0" borderId="40" xfId="0" applyFont="1" applyBorder="1" applyAlignment="1">
      <alignment horizontal="center" vertical="top"/>
    </xf>
    <xf numFmtId="0" fontId="20" fillId="0" borderId="7" xfId="0" applyFont="1" applyBorder="1" applyAlignment="1">
      <alignment horizontal="center" vertical="top"/>
    </xf>
    <xf numFmtId="0" fontId="20" fillId="0" borderId="21" xfId="0" applyFont="1" applyBorder="1" applyAlignment="1">
      <alignment horizontal="center"/>
    </xf>
    <xf numFmtId="0" fontId="20" fillId="0" borderId="32" xfId="0" applyFont="1" applyBorder="1" applyAlignment="1">
      <alignment horizontal="center"/>
    </xf>
    <xf numFmtId="0" fontId="20" fillId="21" borderId="19" xfId="0" applyFont="1" applyFill="1" applyBorder="1" applyAlignment="1">
      <alignment horizontal="center" vertical="center"/>
    </xf>
    <xf numFmtId="0" fontId="20" fillId="21" borderId="42" xfId="0" applyFont="1" applyFill="1" applyBorder="1" applyAlignment="1">
      <alignment horizontal="center" vertical="center"/>
    </xf>
    <xf numFmtId="0" fontId="20" fillId="21" borderId="20" xfId="0" applyFont="1" applyFill="1" applyBorder="1" applyAlignment="1">
      <alignment horizontal="center" vertical="center"/>
    </xf>
    <xf numFmtId="0" fontId="20" fillId="0" borderId="9" xfId="0" applyFont="1" applyBorder="1" applyAlignment="1">
      <alignment horizontal="center"/>
    </xf>
    <xf numFmtId="0" fontId="20" fillId="0" borderId="21" xfId="0" applyFont="1" applyBorder="1" applyAlignment="1">
      <alignment horizontal="center" wrapText="1"/>
    </xf>
    <xf numFmtId="0" fontId="20" fillId="0" borderId="24" xfId="0" applyFont="1" applyBorder="1" applyAlignment="1">
      <alignment horizontal="center"/>
    </xf>
    <xf numFmtId="0" fontId="20" fillId="21" borderId="21" xfId="0" applyFont="1" applyFill="1" applyBorder="1" applyAlignment="1">
      <alignment horizontal="center" vertical="center"/>
    </xf>
    <xf numFmtId="0" fontId="20" fillId="21" borderId="33" xfId="0" applyFont="1" applyFill="1" applyBorder="1" applyAlignment="1">
      <alignment horizontal="center" vertical="center"/>
    </xf>
    <xf numFmtId="0" fontId="20" fillId="21" borderId="32" xfId="0" applyFont="1" applyFill="1" applyBorder="1" applyAlignment="1">
      <alignment horizontal="center" vertical="center"/>
    </xf>
    <xf numFmtId="0" fontId="20" fillId="28" borderId="21" xfId="0" applyFont="1" applyFill="1" applyBorder="1" applyAlignment="1">
      <alignment horizontal="center"/>
    </xf>
    <xf numFmtId="0" fontId="20" fillId="28" borderId="33" xfId="0" applyFont="1" applyFill="1" applyBorder="1" applyAlignment="1">
      <alignment horizontal="center"/>
    </xf>
    <xf numFmtId="0" fontId="20" fillId="28" borderId="32" xfId="0" applyFont="1" applyFill="1" applyBorder="1" applyAlignment="1">
      <alignment horizontal="center"/>
    </xf>
    <xf numFmtId="0" fontId="20" fillId="0" borderId="33" xfId="0" applyFont="1" applyBorder="1" applyAlignment="1">
      <alignment horizontal="center"/>
    </xf>
    <xf numFmtId="0" fontId="20" fillId="14" borderId="2" xfId="0" applyFont="1" applyFill="1" applyBorder="1" applyAlignment="1">
      <alignment horizontal="center" vertical="top"/>
    </xf>
    <xf numFmtId="0" fontId="20" fillId="14" borderId="34" xfId="0" applyFont="1" applyFill="1" applyBorder="1" applyAlignment="1">
      <alignment horizontal="center" vertical="top"/>
    </xf>
    <xf numFmtId="0" fontId="20" fillId="14" borderId="16" xfId="0" applyFont="1" applyFill="1" applyBorder="1" applyAlignment="1">
      <alignment horizontal="center" vertical="top"/>
    </xf>
    <xf numFmtId="0" fontId="20" fillId="14" borderId="3" xfId="0" applyFont="1" applyFill="1" applyBorder="1" applyAlignment="1">
      <alignment horizontal="center" vertical="top"/>
    </xf>
    <xf numFmtId="0" fontId="20" fillId="14" borderId="0" xfId="0" applyFont="1" applyFill="1" applyAlignment="1">
      <alignment horizontal="center" vertical="top"/>
    </xf>
    <xf numFmtId="0" fontId="20" fillId="14" borderId="14" xfId="0" applyFont="1" applyFill="1" applyBorder="1" applyAlignment="1">
      <alignment horizontal="center" vertical="top"/>
    </xf>
    <xf numFmtId="0" fontId="20" fillId="14" borderId="19" xfId="0" applyFont="1" applyFill="1" applyBorder="1" applyAlignment="1">
      <alignment horizontal="center" vertical="top"/>
    </xf>
    <xf numFmtId="0" fontId="20" fillId="14" borderId="42" xfId="0" applyFont="1" applyFill="1" applyBorder="1" applyAlignment="1">
      <alignment horizontal="center" vertical="top"/>
    </xf>
    <xf numFmtId="0" fontId="20" fillId="14" borderId="20" xfId="0" applyFont="1" applyFill="1" applyBorder="1" applyAlignment="1">
      <alignment horizontal="center" vertical="top"/>
    </xf>
    <xf numFmtId="0" fontId="20" fillId="12" borderId="21" xfId="0" applyFont="1" applyFill="1" applyBorder="1" applyAlignment="1">
      <alignment horizontal="center" vertical="center"/>
    </xf>
    <xf numFmtId="0" fontId="20" fillId="12" borderId="33" xfId="0" applyFont="1" applyFill="1" applyBorder="1" applyAlignment="1">
      <alignment horizontal="center" vertical="center"/>
    </xf>
    <xf numFmtId="0" fontId="20" fillId="12" borderId="32" xfId="0" applyFont="1" applyFill="1" applyBorder="1" applyAlignment="1">
      <alignment horizontal="center" vertical="center"/>
    </xf>
    <xf numFmtId="0" fontId="20" fillId="3" borderId="21" xfId="0" applyFont="1" applyFill="1" applyBorder="1" applyAlignment="1">
      <alignment horizontal="center" vertical="center"/>
    </xf>
    <xf numFmtId="0" fontId="20" fillId="3" borderId="33" xfId="0" applyFont="1" applyFill="1" applyBorder="1" applyAlignment="1">
      <alignment horizontal="center" vertical="center"/>
    </xf>
    <xf numFmtId="0" fontId="20" fillId="3" borderId="32" xfId="0" applyFont="1" applyFill="1" applyBorder="1" applyAlignment="1">
      <alignment horizontal="center" vertical="center"/>
    </xf>
    <xf numFmtId="0" fontId="20" fillId="11" borderId="21" xfId="0" applyFont="1" applyFill="1" applyBorder="1" applyAlignment="1">
      <alignment horizontal="center"/>
    </xf>
    <xf numFmtId="0" fontId="20" fillId="11" borderId="33" xfId="0" applyFont="1" applyFill="1" applyBorder="1" applyAlignment="1">
      <alignment horizontal="center"/>
    </xf>
    <xf numFmtId="0" fontId="20" fillId="10" borderId="21" xfId="0" applyFont="1" applyFill="1" applyBorder="1" applyAlignment="1">
      <alignment horizontal="center"/>
    </xf>
    <xf numFmtId="0" fontId="20" fillId="10" borderId="33" xfId="0" applyFont="1" applyFill="1" applyBorder="1" applyAlignment="1">
      <alignment horizontal="center"/>
    </xf>
    <xf numFmtId="0" fontId="20" fillId="10" borderId="32" xfId="0" applyFont="1" applyFill="1" applyBorder="1" applyAlignment="1">
      <alignment horizontal="center"/>
    </xf>
    <xf numFmtId="0" fontId="20" fillId="4" borderId="2" xfId="0" applyFont="1" applyFill="1" applyBorder="1" applyAlignment="1">
      <alignment horizontal="center" vertical="top"/>
    </xf>
    <xf numFmtId="0" fontId="20" fillId="4" borderId="16" xfId="0" applyFont="1" applyFill="1" applyBorder="1" applyAlignment="1">
      <alignment horizontal="center" vertical="top"/>
    </xf>
    <xf numFmtId="0" fontId="20" fillId="4" borderId="3" xfId="0" applyFont="1" applyFill="1" applyBorder="1" applyAlignment="1">
      <alignment horizontal="center" vertical="top"/>
    </xf>
    <xf numFmtId="0" fontId="20" fillId="4" borderId="14" xfId="0" applyFont="1" applyFill="1" applyBorder="1" applyAlignment="1">
      <alignment horizontal="center" vertical="top"/>
    </xf>
    <xf numFmtId="0" fontId="20" fillId="4" borderId="19" xfId="0" applyFont="1" applyFill="1" applyBorder="1" applyAlignment="1">
      <alignment horizontal="center" vertical="top"/>
    </xf>
    <xf numFmtId="0" fontId="20" fillId="4" borderId="20" xfId="0" applyFont="1" applyFill="1" applyBorder="1" applyAlignment="1">
      <alignment horizontal="center" vertical="top"/>
    </xf>
    <xf numFmtId="0" fontId="58" fillId="25" borderId="21" xfId="0" applyFont="1" applyFill="1" applyBorder="1" applyAlignment="1">
      <alignment horizontal="center" vertical="top"/>
    </xf>
    <xf numFmtId="0" fontId="58" fillId="25" borderId="33" xfId="0" applyFont="1" applyFill="1" applyBorder="1" applyAlignment="1">
      <alignment horizontal="center" vertical="top"/>
    </xf>
    <xf numFmtId="0" fontId="20" fillId="17" borderId="21" xfId="0" applyFont="1" applyFill="1" applyBorder="1" applyAlignment="1">
      <alignment horizontal="center"/>
    </xf>
    <xf numFmtId="0" fontId="20" fillId="17" borderId="33" xfId="0" applyFont="1" applyFill="1" applyBorder="1" applyAlignment="1">
      <alignment horizontal="center"/>
    </xf>
    <xf numFmtId="0" fontId="20" fillId="17" borderId="32" xfId="0" applyFont="1" applyFill="1" applyBorder="1" applyAlignment="1">
      <alignment horizontal="center"/>
    </xf>
    <xf numFmtId="0" fontId="0" fillId="0" borderId="21" xfId="0" applyBorder="1" applyAlignment="1">
      <alignment horizontal="center"/>
    </xf>
    <xf numFmtId="0" fontId="0" fillId="0" borderId="33" xfId="0" applyBorder="1" applyAlignment="1">
      <alignment horizontal="center"/>
    </xf>
    <xf numFmtId="0" fontId="0" fillId="0" borderId="32" xfId="0" applyBorder="1" applyAlignment="1">
      <alignment horizontal="center"/>
    </xf>
    <xf numFmtId="0" fontId="20" fillId="17" borderId="21" xfId="0" applyFont="1" applyFill="1" applyBorder="1" applyAlignment="1">
      <alignment horizontal="center" vertical="center"/>
    </xf>
    <xf numFmtId="0" fontId="20" fillId="17" borderId="32" xfId="0" applyFont="1" applyFill="1" applyBorder="1" applyAlignment="1">
      <alignment horizontal="center" vertical="center"/>
    </xf>
    <xf numFmtId="0" fontId="20" fillId="11" borderId="21" xfId="0" applyFont="1" applyFill="1" applyBorder="1" applyAlignment="1">
      <alignment horizontal="center" vertical="center"/>
    </xf>
    <xf numFmtId="0" fontId="20" fillId="11" borderId="33" xfId="0" applyFont="1" applyFill="1" applyBorder="1" applyAlignment="1">
      <alignment horizontal="center" vertical="center"/>
    </xf>
    <xf numFmtId="0" fontId="20" fillId="11" borderId="32" xfId="0" applyFont="1" applyFill="1" applyBorder="1" applyAlignment="1">
      <alignment horizontal="center" vertical="center"/>
    </xf>
    <xf numFmtId="0" fontId="20" fillId="17" borderId="2" xfId="0" applyFont="1" applyFill="1" applyBorder="1" applyAlignment="1">
      <alignment horizontal="center"/>
    </xf>
    <xf numFmtId="0" fontId="20" fillId="17" borderId="16" xfId="0" applyFont="1" applyFill="1" applyBorder="1" applyAlignment="1">
      <alignment horizontal="center"/>
    </xf>
    <xf numFmtId="0" fontId="20" fillId="12" borderId="1" xfId="0" applyFont="1" applyFill="1" applyBorder="1" applyAlignment="1">
      <alignment horizontal="center"/>
    </xf>
    <xf numFmtId="0" fontId="20" fillId="21" borderId="2" xfId="0" applyFont="1" applyFill="1" applyBorder="1" applyAlignment="1">
      <alignment horizontal="center" vertical="center"/>
    </xf>
    <xf numFmtId="0" fontId="20" fillId="21" borderId="34" xfId="0" applyFont="1" applyFill="1" applyBorder="1" applyAlignment="1">
      <alignment horizontal="center" vertical="center"/>
    </xf>
    <xf numFmtId="0" fontId="20" fillId="21" borderId="16" xfId="0" applyFont="1" applyFill="1" applyBorder="1" applyAlignment="1">
      <alignment horizontal="center" vertical="center"/>
    </xf>
    <xf numFmtId="0" fontId="20" fillId="20" borderId="2" xfId="0" applyFont="1" applyFill="1" applyBorder="1" applyAlignment="1">
      <alignment horizontal="center" vertical="top"/>
    </xf>
    <xf numFmtId="0" fontId="20" fillId="20" borderId="16" xfId="0" applyFont="1" applyFill="1" applyBorder="1" applyAlignment="1">
      <alignment horizontal="center" vertical="top"/>
    </xf>
    <xf numFmtId="0" fontId="20" fillId="20" borderId="19" xfId="0" applyFont="1" applyFill="1" applyBorder="1" applyAlignment="1">
      <alignment horizontal="center" vertical="top"/>
    </xf>
    <xf numFmtId="0" fontId="20" fillId="20" borderId="20" xfId="0" applyFont="1" applyFill="1" applyBorder="1" applyAlignment="1">
      <alignment horizontal="center" vertical="top"/>
    </xf>
    <xf numFmtId="0" fontId="20" fillId="20" borderId="34" xfId="0" applyFont="1" applyFill="1" applyBorder="1" applyAlignment="1">
      <alignment horizontal="center" vertical="top"/>
    </xf>
    <xf numFmtId="0" fontId="20" fillId="20" borderId="42" xfId="0" applyFont="1" applyFill="1" applyBorder="1" applyAlignment="1">
      <alignment horizontal="center" vertical="top"/>
    </xf>
    <xf numFmtId="0" fontId="20" fillId="17" borderId="2" xfId="0" applyFont="1" applyFill="1" applyBorder="1" applyAlignment="1">
      <alignment horizontal="center" vertical="top"/>
    </xf>
    <xf numFmtId="0" fontId="20" fillId="17" borderId="16" xfId="0" applyFont="1" applyFill="1" applyBorder="1" applyAlignment="1">
      <alignment horizontal="center" vertical="top"/>
    </xf>
    <xf numFmtId="0" fontId="20" fillId="17" borderId="3" xfId="0" applyFont="1" applyFill="1" applyBorder="1" applyAlignment="1">
      <alignment horizontal="center" vertical="top"/>
    </xf>
    <xf numFmtId="0" fontId="20" fillId="17" borderId="14" xfId="0" applyFont="1" applyFill="1" applyBorder="1" applyAlignment="1">
      <alignment horizontal="center" vertical="top"/>
    </xf>
    <xf numFmtId="0" fontId="20" fillId="8" borderId="2" xfId="0" applyFont="1" applyFill="1" applyBorder="1" applyAlignment="1">
      <alignment horizontal="center" vertical="top"/>
    </xf>
    <xf numFmtId="0" fontId="20" fillId="8" borderId="16" xfId="0" applyFont="1" applyFill="1" applyBorder="1" applyAlignment="1">
      <alignment horizontal="center" vertical="top"/>
    </xf>
    <xf numFmtId="0" fontId="20" fillId="8" borderId="3" xfId="0" applyFont="1" applyFill="1" applyBorder="1" applyAlignment="1">
      <alignment horizontal="center" vertical="top"/>
    </xf>
    <xf numFmtId="0" fontId="20" fillId="8" borderId="14" xfId="0" applyFont="1" applyFill="1" applyBorder="1" applyAlignment="1">
      <alignment horizontal="center" vertical="top"/>
    </xf>
    <xf numFmtId="0" fontId="20" fillId="8" borderId="19" xfId="0" applyFont="1" applyFill="1" applyBorder="1" applyAlignment="1">
      <alignment horizontal="center" vertical="top"/>
    </xf>
    <xf numFmtId="0" fontId="20" fillId="8" borderId="20" xfId="0" applyFont="1" applyFill="1" applyBorder="1" applyAlignment="1">
      <alignment horizontal="center" vertical="top"/>
    </xf>
    <xf numFmtId="0" fontId="20" fillId="20" borderId="3" xfId="0" applyFont="1" applyFill="1" applyBorder="1" applyAlignment="1">
      <alignment horizontal="center" vertical="top"/>
    </xf>
    <xf numFmtId="0" fontId="20" fillId="20" borderId="14" xfId="0" applyFont="1" applyFill="1" applyBorder="1" applyAlignment="1">
      <alignment horizontal="center" vertical="top"/>
    </xf>
    <xf numFmtId="0" fontId="20" fillId="8" borderId="34" xfId="0" applyFont="1" applyFill="1" applyBorder="1" applyAlignment="1">
      <alignment horizontal="center" vertical="top"/>
    </xf>
    <xf numFmtId="0" fontId="20" fillId="8" borderId="42" xfId="0" applyFont="1" applyFill="1" applyBorder="1" applyAlignment="1">
      <alignment horizontal="center" vertical="top"/>
    </xf>
    <xf numFmtId="0" fontId="58" fillId="8" borderId="2" xfId="0" applyFont="1" applyFill="1" applyBorder="1" applyAlignment="1">
      <alignment horizontal="center" vertical="center"/>
    </xf>
    <xf numFmtId="0" fontId="58" fillId="8" borderId="16" xfId="0" applyFont="1" applyFill="1" applyBorder="1" applyAlignment="1">
      <alignment horizontal="center" vertical="center"/>
    </xf>
    <xf numFmtId="0" fontId="20" fillId="12" borderId="2" xfId="0" applyFont="1" applyFill="1" applyBorder="1" applyAlignment="1">
      <alignment horizontal="center"/>
    </xf>
    <xf numFmtId="0" fontId="20" fillId="12" borderId="16" xfId="0" applyFont="1" applyFill="1" applyBorder="1" applyAlignment="1">
      <alignment horizontal="center"/>
    </xf>
    <xf numFmtId="0" fontId="58" fillId="25" borderId="2" xfId="0" applyFont="1" applyFill="1" applyBorder="1" applyAlignment="1">
      <alignment horizontal="center" vertical="top"/>
    </xf>
    <xf numFmtId="0" fontId="58" fillId="25" borderId="16" xfId="0" applyFont="1" applyFill="1" applyBorder="1" applyAlignment="1">
      <alignment horizontal="center" vertical="top"/>
    </xf>
    <xf numFmtId="0" fontId="20" fillId="17" borderId="33" xfId="0" applyFont="1" applyFill="1" applyBorder="1" applyAlignment="1">
      <alignment horizontal="center" vertical="center"/>
    </xf>
    <xf numFmtId="0" fontId="58" fillId="17" borderId="21" xfId="0" applyFont="1" applyFill="1" applyBorder="1" applyAlignment="1">
      <alignment horizontal="center" vertical="top"/>
    </xf>
    <xf numFmtId="0" fontId="58" fillId="17" borderId="32" xfId="0" applyFont="1" applyFill="1" applyBorder="1" applyAlignment="1">
      <alignment horizontal="center" vertical="top"/>
    </xf>
    <xf numFmtId="0" fontId="20" fillId="14" borderId="37" xfId="0" applyFont="1" applyFill="1" applyBorder="1" applyAlignment="1">
      <alignment horizontal="center" vertical="center"/>
    </xf>
    <xf numFmtId="0" fontId="20" fillId="14" borderId="38" xfId="0" applyFont="1" applyFill="1" applyBorder="1" applyAlignment="1">
      <alignment horizontal="center" vertical="center"/>
    </xf>
    <xf numFmtId="0" fontId="20" fillId="17" borderId="34" xfId="0" applyFont="1" applyFill="1" applyBorder="1" applyAlignment="1">
      <alignment horizontal="center"/>
    </xf>
    <xf numFmtId="0" fontId="20" fillId="12" borderId="2" xfId="0" applyFont="1" applyFill="1" applyBorder="1" applyAlignment="1">
      <alignment horizontal="center" vertical="center"/>
    </xf>
    <xf numFmtId="0" fontId="20" fillId="12" borderId="34" xfId="0" applyFont="1" applyFill="1" applyBorder="1" applyAlignment="1">
      <alignment horizontal="center" vertical="center"/>
    </xf>
    <xf numFmtId="0" fontId="20" fillId="20" borderId="21" xfId="0" applyFont="1" applyFill="1" applyBorder="1" applyAlignment="1">
      <alignment horizontal="center" vertical="top"/>
    </xf>
    <xf numFmtId="0" fontId="20" fillId="20" borderId="33" xfId="0" applyFont="1" applyFill="1" applyBorder="1" applyAlignment="1">
      <alignment horizontal="center" vertical="top"/>
    </xf>
    <xf numFmtId="0" fontId="20" fillId="20" borderId="32" xfId="0" applyFont="1" applyFill="1" applyBorder="1" applyAlignment="1">
      <alignment horizontal="center" vertical="top"/>
    </xf>
    <xf numFmtId="0" fontId="20" fillId="17" borderId="21" xfId="0" applyFont="1" applyFill="1" applyBorder="1" applyAlignment="1">
      <alignment horizontal="center" vertical="top"/>
    </xf>
    <xf numFmtId="0" fontId="20" fillId="17" borderId="33" xfId="0" applyFont="1" applyFill="1" applyBorder="1" applyAlignment="1">
      <alignment horizontal="center" vertical="top"/>
    </xf>
    <xf numFmtId="0" fontId="20" fillId="17" borderId="32" xfId="0" applyFont="1" applyFill="1" applyBorder="1" applyAlignment="1">
      <alignment horizontal="center" vertical="top"/>
    </xf>
    <xf numFmtId="0" fontId="20" fillId="21" borderId="21" xfId="0" applyFont="1" applyFill="1" applyBorder="1" applyAlignment="1">
      <alignment horizontal="center" vertical="top"/>
    </xf>
    <xf numFmtId="0" fontId="20" fillId="21" borderId="33" xfId="0" applyFont="1" applyFill="1" applyBorder="1" applyAlignment="1">
      <alignment horizontal="center" vertical="top"/>
    </xf>
    <xf numFmtId="0" fontId="20" fillId="21" borderId="32" xfId="0" applyFont="1" applyFill="1" applyBorder="1" applyAlignment="1">
      <alignment horizontal="center" vertical="top"/>
    </xf>
    <xf numFmtId="0" fontId="20" fillId="12" borderId="117" xfId="0" applyFont="1" applyFill="1" applyBorder="1" applyAlignment="1">
      <alignment horizontal="center" vertical="center"/>
    </xf>
    <xf numFmtId="0" fontId="20" fillId="12" borderId="118" xfId="0" applyFont="1" applyFill="1" applyBorder="1" applyAlignment="1">
      <alignment horizontal="center" vertical="center"/>
    </xf>
    <xf numFmtId="0" fontId="20" fillId="12" borderId="119" xfId="0" applyFont="1" applyFill="1" applyBorder="1" applyAlignment="1">
      <alignment horizontal="center" vertical="center"/>
    </xf>
    <xf numFmtId="0" fontId="20" fillId="20" borderId="192" xfId="0" applyFont="1" applyFill="1" applyBorder="1" applyAlignment="1">
      <alignment horizontal="center" vertical="center"/>
    </xf>
    <xf numFmtId="0" fontId="20" fillId="20" borderId="193" xfId="0" applyFont="1" applyFill="1" applyBorder="1" applyAlignment="1">
      <alignment horizontal="center" vertical="center"/>
    </xf>
    <xf numFmtId="0" fontId="20" fillId="20" borderId="42" xfId="0" applyFont="1" applyFill="1" applyBorder="1" applyAlignment="1">
      <alignment horizontal="center" vertical="center"/>
    </xf>
    <xf numFmtId="0" fontId="20" fillId="20" borderId="20" xfId="0" applyFont="1" applyFill="1" applyBorder="1" applyAlignment="1">
      <alignment horizontal="center" vertical="center"/>
    </xf>
    <xf numFmtId="0" fontId="20" fillId="6" borderId="2" xfId="0" applyFont="1" applyFill="1" applyBorder="1" applyAlignment="1">
      <alignment horizontal="center" vertical="top"/>
    </xf>
    <xf numFmtId="0" fontId="20" fillId="6" borderId="34" xfId="0" applyFont="1" applyFill="1" applyBorder="1" applyAlignment="1">
      <alignment horizontal="center" vertical="top"/>
    </xf>
    <xf numFmtId="0" fontId="20" fillId="6" borderId="19" xfId="0" applyFont="1" applyFill="1" applyBorder="1" applyAlignment="1">
      <alignment horizontal="center" vertical="top"/>
    </xf>
    <xf numFmtId="0" fontId="20" fillId="6" borderId="42" xfId="0" applyFont="1" applyFill="1" applyBorder="1" applyAlignment="1">
      <alignment horizontal="center" vertical="top"/>
    </xf>
    <xf numFmtId="0" fontId="20" fillId="17" borderId="19" xfId="0" applyFont="1" applyFill="1" applyBorder="1" applyAlignment="1">
      <alignment horizontal="center"/>
    </xf>
    <xf numFmtId="0" fontId="20" fillId="17" borderId="42" xfId="0" applyFont="1" applyFill="1" applyBorder="1" applyAlignment="1">
      <alignment horizontal="center"/>
    </xf>
    <xf numFmtId="0" fontId="20" fillId="8" borderId="21" xfId="0" applyFont="1" applyFill="1" applyBorder="1" applyAlignment="1">
      <alignment horizontal="center"/>
    </xf>
    <xf numFmtId="0" fontId="20" fillId="8" borderId="33" xfId="0" applyFont="1" applyFill="1" applyBorder="1" applyAlignment="1">
      <alignment horizontal="center"/>
    </xf>
    <xf numFmtId="0" fontId="20" fillId="8" borderId="32" xfId="0" applyFont="1" applyFill="1" applyBorder="1" applyAlignment="1">
      <alignment horizontal="center"/>
    </xf>
    <xf numFmtId="0" fontId="20" fillId="17" borderId="0" xfId="0" applyFont="1" applyFill="1" applyAlignment="1">
      <alignment horizontal="center" vertical="top"/>
    </xf>
    <xf numFmtId="0" fontId="20" fillId="17" borderId="19" xfId="0" applyFont="1" applyFill="1" applyBorder="1" applyAlignment="1">
      <alignment horizontal="center" vertical="top"/>
    </xf>
    <xf numFmtId="0" fontId="20" fillId="17" borderId="42" xfId="0" applyFont="1" applyFill="1" applyBorder="1" applyAlignment="1">
      <alignment horizontal="center" vertical="top"/>
    </xf>
    <xf numFmtId="0" fontId="20" fillId="17" borderId="20" xfId="0" applyFont="1" applyFill="1" applyBorder="1" applyAlignment="1">
      <alignment horizontal="center" vertical="top"/>
    </xf>
    <xf numFmtId="0" fontId="58" fillId="17" borderId="0" xfId="0" applyFont="1" applyFill="1" applyAlignment="1">
      <alignment horizontal="center" vertical="top"/>
    </xf>
    <xf numFmtId="0" fontId="58" fillId="17" borderId="14" xfId="0" applyFont="1" applyFill="1" applyBorder="1" applyAlignment="1">
      <alignment horizontal="center" vertical="top"/>
    </xf>
    <xf numFmtId="0" fontId="58" fillId="17" borderId="3" xfId="0" applyFont="1" applyFill="1" applyBorder="1" applyAlignment="1">
      <alignment horizontal="center" vertical="top"/>
    </xf>
    <xf numFmtId="0" fontId="58" fillId="17" borderId="19" xfId="0" applyFont="1" applyFill="1" applyBorder="1" applyAlignment="1">
      <alignment horizontal="center" vertical="top"/>
    </xf>
    <xf numFmtId="0" fontId="58" fillId="17" borderId="20" xfId="0" applyFont="1" applyFill="1" applyBorder="1" applyAlignment="1">
      <alignment horizontal="center" vertical="top"/>
    </xf>
    <xf numFmtId="0" fontId="20" fillId="0" borderId="16" xfId="0" applyFont="1" applyBorder="1" applyAlignment="1">
      <alignment horizontal="center" vertical="center"/>
    </xf>
    <xf numFmtId="0" fontId="20" fillId="7" borderId="2" xfId="0" applyFont="1" applyFill="1" applyBorder="1" applyAlignment="1">
      <alignment horizontal="center" vertical="center"/>
    </xf>
    <xf numFmtId="0" fontId="20" fillId="7" borderId="16" xfId="0" applyFont="1" applyFill="1" applyBorder="1" applyAlignment="1">
      <alignment horizontal="center" vertical="center"/>
    </xf>
    <xf numFmtId="0" fontId="58" fillId="3" borderId="21" xfId="0" applyFont="1" applyFill="1" applyBorder="1"/>
    <xf numFmtId="0" fontId="58" fillId="3" borderId="32" xfId="0" applyFont="1" applyFill="1" applyBorder="1"/>
    <xf numFmtId="0" fontId="20" fillId="17" borderId="2" xfId="0" applyFont="1" applyFill="1" applyBorder="1"/>
    <xf numFmtId="0" fontId="20" fillId="17" borderId="16" xfId="0" applyFont="1" applyFill="1" applyBorder="1"/>
    <xf numFmtId="0" fontId="20" fillId="12" borderId="40" xfId="0" applyFont="1" applyFill="1" applyBorder="1" applyAlignment="1">
      <alignment horizontal="center" vertical="top"/>
    </xf>
    <xf numFmtId="0" fontId="20" fillId="12" borderId="22" xfId="0" applyFont="1" applyFill="1" applyBorder="1" applyAlignment="1">
      <alignment horizontal="center" vertical="top"/>
    </xf>
    <xf numFmtId="0" fontId="20" fillId="17" borderId="34" xfId="0" applyFont="1" applyFill="1" applyBorder="1" applyAlignment="1">
      <alignment horizontal="center" vertical="top"/>
    </xf>
    <xf numFmtId="0" fontId="20" fillId="10" borderId="19" xfId="0" applyFont="1" applyFill="1" applyBorder="1" applyAlignment="1">
      <alignment horizontal="center" vertical="top"/>
    </xf>
    <xf numFmtId="0" fontId="20" fillId="10" borderId="42" xfId="0" applyFont="1" applyFill="1" applyBorder="1" applyAlignment="1">
      <alignment horizontal="center" vertical="top"/>
    </xf>
    <xf numFmtId="0" fontId="20" fillId="10" borderId="20" xfId="0" applyFont="1" applyFill="1" applyBorder="1" applyAlignment="1">
      <alignment horizontal="center" vertical="top"/>
    </xf>
    <xf numFmtId="0" fontId="58" fillId="25" borderId="3" xfId="0" applyFont="1" applyFill="1" applyBorder="1" applyAlignment="1">
      <alignment horizontal="center" vertical="top"/>
    </xf>
    <xf numFmtId="0" fontId="58" fillId="25" borderId="14" xfId="0" applyFont="1" applyFill="1" applyBorder="1" applyAlignment="1">
      <alignment horizontal="center" vertical="top"/>
    </xf>
    <xf numFmtId="0" fontId="58" fillId="25" borderId="19" xfId="0" applyFont="1" applyFill="1" applyBorder="1" applyAlignment="1">
      <alignment horizontal="center" vertical="top"/>
    </xf>
    <xf numFmtId="0" fontId="58" fillId="25" borderId="20" xfId="0" applyFont="1" applyFill="1" applyBorder="1" applyAlignment="1">
      <alignment horizontal="center" vertical="top"/>
    </xf>
    <xf numFmtId="0" fontId="20" fillId="7" borderId="2" xfId="0" applyFont="1" applyFill="1" applyBorder="1" applyAlignment="1">
      <alignment horizontal="center" vertical="top"/>
    </xf>
    <xf numFmtId="0" fontId="20" fillId="7" borderId="16" xfId="0" applyFont="1" applyFill="1" applyBorder="1" applyAlignment="1">
      <alignment horizontal="center" vertical="top"/>
    </xf>
    <xf numFmtId="0" fontId="20" fillId="7" borderId="19" xfId="0" applyFont="1" applyFill="1" applyBorder="1" applyAlignment="1">
      <alignment horizontal="center" vertical="top"/>
    </xf>
    <xf numFmtId="0" fontId="20" fillId="7" borderId="20" xfId="0" applyFont="1" applyFill="1" applyBorder="1" applyAlignment="1">
      <alignment horizontal="center" vertical="top"/>
    </xf>
    <xf numFmtId="0" fontId="20" fillId="12" borderId="21" xfId="0" applyFont="1" applyFill="1" applyBorder="1"/>
    <xf numFmtId="0" fontId="20" fillId="12" borderId="32" xfId="0" applyFont="1" applyFill="1" applyBorder="1"/>
    <xf numFmtId="0" fontId="20" fillId="12" borderId="2" xfId="0" applyFont="1" applyFill="1" applyBorder="1"/>
    <xf numFmtId="0" fontId="20" fillId="12" borderId="16" xfId="0" applyFont="1" applyFill="1" applyBorder="1"/>
    <xf numFmtId="0" fontId="1" fillId="3" borderId="40" xfId="0" applyFont="1" applyFill="1" applyBorder="1" applyAlignment="1">
      <alignment horizontal="center" vertical="center" wrapText="1"/>
    </xf>
    <xf numFmtId="0" fontId="1" fillId="3" borderId="22" xfId="0" applyFont="1" applyFill="1" applyBorder="1" applyAlignment="1">
      <alignment horizontal="center" vertical="center"/>
    </xf>
    <xf numFmtId="0" fontId="0" fillId="0" borderId="9" xfId="0" applyBorder="1" applyAlignment="1">
      <alignment horizontal="left" vertical="top" wrapText="1"/>
    </xf>
    <xf numFmtId="0" fontId="0" fillId="0" borderId="24" xfId="0" applyBorder="1" applyAlignment="1">
      <alignment horizontal="left" vertical="top" wrapText="1"/>
    </xf>
    <xf numFmtId="0" fontId="0" fillId="0" borderId="11" xfId="0" applyBorder="1" applyAlignment="1">
      <alignment horizontal="left" vertical="top" wrapText="1"/>
    </xf>
    <xf numFmtId="0" fontId="0" fillId="7" borderId="25" xfId="0" applyFill="1" applyBorder="1" applyAlignment="1">
      <alignment horizontal="left" vertical="top" wrapText="1"/>
    </xf>
    <xf numFmtId="0" fontId="0" fillId="7" borderId="23" xfId="0" applyFill="1" applyBorder="1" applyAlignment="1">
      <alignment horizontal="left" vertical="top" wrapText="1"/>
    </xf>
    <xf numFmtId="0" fontId="0" fillId="7" borderId="10" xfId="0" applyFill="1" applyBorder="1" applyAlignment="1">
      <alignment horizontal="left" vertical="top" wrapText="1"/>
    </xf>
    <xf numFmtId="0" fontId="0" fillId="0" borderId="26" xfId="0" applyBorder="1" applyAlignment="1">
      <alignment horizontal="left" vertical="top" wrapText="1"/>
    </xf>
    <xf numFmtId="0" fontId="0" fillId="0" borderId="27" xfId="0" applyBorder="1" applyAlignment="1">
      <alignment horizontal="left" vertical="top" wrapText="1"/>
    </xf>
    <xf numFmtId="0" fontId="0" fillId="0" borderId="28" xfId="0" applyBorder="1" applyAlignment="1">
      <alignment horizontal="left" vertical="top" wrapText="1"/>
    </xf>
    <xf numFmtId="0" fontId="1" fillId="0" borderId="40" xfId="0" applyFont="1" applyBorder="1" applyAlignment="1">
      <alignment horizontal="center" vertical="center" wrapText="1"/>
    </xf>
    <xf numFmtId="0" fontId="1" fillId="0" borderId="22" xfId="0" applyFont="1" applyBorder="1" applyAlignment="1">
      <alignment horizontal="center" vertical="center" wrapText="1"/>
    </xf>
    <xf numFmtId="0" fontId="0" fillId="0" borderId="0" xfId="0" applyAlignment="1">
      <alignment horizontal="left" vertical="top"/>
    </xf>
    <xf numFmtId="0" fontId="1" fillId="7" borderId="9" xfId="0" applyFont="1" applyFill="1" applyBorder="1" applyAlignment="1">
      <alignment horizontal="center"/>
    </xf>
    <xf numFmtId="0" fontId="1" fillId="7" borderId="11" xfId="0" applyFont="1" applyFill="1" applyBorder="1" applyAlignment="1">
      <alignment horizontal="center"/>
    </xf>
    <xf numFmtId="0" fontId="0" fillId="0" borderId="25" xfId="0" applyBorder="1" applyAlignment="1">
      <alignment horizontal="center"/>
    </xf>
    <xf numFmtId="0" fontId="0" fillId="0" borderId="10" xfId="0" applyBorder="1" applyAlignment="1">
      <alignment horizontal="center"/>
    </xf>
    <xf numFmtId="0" fontId="0" fillId="0" borderId="25" xfId="0" applyBorder="1" applyAlignment="1">
      <alignment horizontal="left" vertical="center" wrapText="1"/>
    </xf>
    <xf numFmtId="0" fontId="0" fillId="0" borderId="10" xfId="0" applyBorder="1" applyAlignment="1">
      <alignment horizontal="left" vertical="center" wrapText="1"/>
    </xf>
    <xf numFmtId="0" fontId="1" fillId="0" borderId="21" xfId="0" applyFont="1" applyBorder="1" applyAlignment="1">
      <alignment horizontal="center"/>
    </xf>
    <xf numFmtId="0" fontId="1" fillId="0" borderId="33" xfId="0" applyFont="1" applyBorder="1" applyAlignment="1">
      <alignment horizontal="center"/>
    </xf>
    <xf numFmtId="0" fontId="1" fillId="0" borderId="32" xfId="0" applyFont="1" applyBorder="1" applyAlignment="1">
      <alignment horizontal="center"/>
    </xf>
    <xf numFmtId="0" fontId="1" fillId="7" borderId="9" xfId="0" applyFont="1" applyFill="1" applyBorder="1" applyAlignment="1">
      <alignment horizontal="center" vertical="top"/>
    </xf>
    <xf numFmtId="0" fontId="1" fillId="7" borderId="11" xfId="0" applyFont="1" applyFill="1" applyBorder="1" applyAlignment="1">
      <alignment horizontal="center" vertical="top"/>
    </xf>
    <xf numFmtId="0" fontId="0" fillId="0" borderId="25" xfId="0" applyBorder="1" applyAlignment="1">
      <alignment horizontal="center" vertical="top"/>
    </xf>
    <xf numFmtId="0" fontId="0" fillId="0" borderId="10" xfId="0" applyBorder="1" applyAlignment="1">
      <alignment horizontal="center" vertical="top"/>
    </xf>
    <xf numFmtId="0" fontId="0" fillId="0" borderId="26" xfId="0" applyBorder="1" applyAlignment="1">
      <alignment horizontal="center" vertical="top"/>
    </xf>
    <xf numFmtId="0" fontId="0" fillId="0" borderId="28" xfId="0" applyBorder="1" applyAlignment="1">
      <alignment horizontal="center" vertical="top"/>
    </xf>
    <xf numFmtId="0" fontId="0" fillId="0" borderId="25" xfId="0" applyBorder="1" applyAlignment="1">
      <alignment horizontal="left" vertical="top" wrapText="1"/>
    </xf>
    <xf numFmtId="0" fontId="0" fillId="0" borderId="23" xfId="0" applyBorder="1" applyAlignment="1">
      <alignment horizontal="left" vertical="top" wrapText="1"/>
    </xf>
    <xf numFmtId="0" fontId="0" fillId="0" borderId="10" xfId="0" applyBorder="1" applyAlignment="1">
      <alignment horizontal="left" vertical="top" wrapText="1"/>
    </xf>
    <xf numFmtId="0" fontId="0" fillId="5" borderId="21" xfId="0" applyFill="1" applyBorder="1" applyAlignment="1">
      <alignment horizontal="center" vertical="center"/>
    </xf>
    <xf numFmtId="0" fontId="0" fillId="5" borderId="33" xfId="0" applyFill="1" applyBorder="1" applyAlignment="1">
      <alignment horizontal="center" vertical="center"/>
    </xf>
    <xf numFmtId="0" fontId="0" fillId="5" borderId="32" xfId="0" applyFill="1" applyBorder="1" applyAlignment="1">
      <alignment horizontal="center" vertical="center"/>
    </xf>
    <xf numFmtId="0" fontId="0" fillId="2" borderId="2" xfId="0" applyFill="1" applyBorder="1" applyAlignment="1">
      <alignment horizontal="left" vertical="top" wrapText="1"/>
    </xf>
    <xf numFmtId="0" fontId="0" fillId="2" borderId="16" xfId="0" applyFill="1" applyBorder="1" applyAlignment="1">
      <alignment horizontal="left" vertical="top" wrapText="1"/>
    </xf>
    <xf numFmtId="0" fontId="0" fillId="2" borderId="3" xfId="0" applyFill="1" applyBorder="1" applyAlignment="1">
      <alignment horizontal="left" vertical="top" wrapText="1"/>
    </xf>
    <xf numFmtId="0" fontId="0" fillId="2" borderId="14" xfId="0" applyFill="1" applyBorder="1" applyAlignment="1">
      <alignment horizontal="left" vertical="top" wrapText="1"/>
    </xf>
    <xf numFmtId="0" fontId="0" fillId="2" borderId="29" xfId="0" applyFill="1" applyBorder="1" applyAlignment="1">
      <alignment horizontal="left" vertical="top" wrapText="1"/>
    </xf>
    <xf numFmtId="0" fontId="0" fillId="2" borderId="30" xfId="0" applyFill="1" applyBorder="1" applyAlignment="1">
      <alignment horizontal="left" vertical="top" wrapText="1"/>
    </xf>
    <xf numFmtId="0" fontId="17" fillId="9" borderId="25" xfId="0" applyFont="1" applyFill="1" applyBorder="1" applyAlignment="1">
      <alignment horizontal="center" vertical="center"/>
    </xf>
    <xf numFmtId="0" fontId="17" fillId="9" borderId="10" xfId="0" applyFont="1" applyFill="1" applyBorder="1" applyAlignment="1">
      <alignment horizontal="center" vertical="center"/>
    </xf>
    <xf numFmtId="0" fontId="1" fillId="7" borderId="188" xfId="0" applyFont="1" applyFill="1" applyBorder="1" applyAlignment="1">
      <alignment horizontal="center"/>
    </xf>
    <xf numFmtId="0" fontId="1" fillId="7" borderId="189" xfId="0" applyFont="1" applyFill="1" applyBorder="1" applyAlignment="1">
      <alignment horizontal="center"/>
    </xf>
    <xf numFmtId="0" fontId="1" fillId="7" borderId="190" xfId="0" applyFont="1" applyFill="1" applyBorder="1" applyAlignment="1">
      <alignment horizontal="center"/>
    </xf>
    <xf numFmtId="0" fontId="0" fillId="7" borderId="161" xfId="0" applyFill="1" applyBorder="1" applyAlignment="1">
      <alignment horizontal="left" vertical="top" wrapText="1"/>
    </xf>
    <xf numFmtId="0" fontId="0" fillId="7" borderId="162" xfId="0" applyFill="1" applyBorder="1" applyAlignment="1">
      <alignment horizontal="left" vertical="top" wrapText="1"/>
    </xf>
    <xf numFmtId="0" fontId="0" fillId="7" borderId="163" xfId="0" applyFill="1" applyBorder="1" applyAlignment="1">
      <alignment horizontal="left" vertical="top" wrapText="1"/>
    </xf>
    <xf numFmtId="0" fontId="20" fillId="0" borderId="164" xfId="0" applyFont="1" applyBorder="1" applyAlignment="1">
      <alignment horizontal="left" vertical="top"/>
    </xf>
    <xf numFmtId="0" fontId="20" fillId="0" borderId="0" xfId="0" applyFont="1" applyAlignment="1">
      <alignment horizontal="left" vertical="top"/>
    </xf>
    <xf numFmtId="0" fontId="20" fillId="0" borderId="165" xfId="0" applyFont="1" applyBorder="1" applyAlignment="1">
      <alignment horizontal="left" vertical="top"/>
    </xf>
    <xf numFmtId="0" fontId="0" fillId="0" borderId="66" xfId="0" applyBorder="1" applyAlignment="1">
      <alignment horizontal="left" vertical="top" wrapText="1"/>
    </xf>
    <xf numFmtId="0" fontId="0" fillId="0" borderId="45" xfId="0" applyBorder="1" applyAlignment="1">
      <alignment horizontal="left" vertical="top" wrapText="1"/>
    </xf>
    <xf numFmtId="0" fontId="0" fillId="0" borderId="67" xfId="0" applyBorder="1" applyAlignment="1">
      <alignment horizontal="left" vertical="top" wrapText="1"/>
    </xf>
    <xf numFmtId="0" fontId="0" fillId="0" borderId="46" xfId="0" applyBorder="1" applyAlignment="1">
      <alignment horizontal="left" vertical="top" wrapText="1"/>
    </xf>
    <xf numFmtId="49" fontId="0" fillId="0" borderId="25" xfId="0" applyNumberFormat="1" applyBorder="1" applyAlignment="1">
      <alignment horizontal="left" vertical="top" wrapText="1"/>
    </xf>
    <xf numFmtId="49" fontId="0" fillId="0" borderId="23" xfId="0" applyNumberFormat="1" applyBorder="1" applyAlignment="1">
      <alignment horizontal="left" vertical="top"/>
    </xf>
    <xf numFmtId="49" fontId="0" fillId="0" borderId="10" xfId="0" applyNumberFormat="1" applyBorder="1" applyAlignment="1">
      <alignment horizontal="left" vertical="top"/>
    </xf>
    <xf numFmtId="0" fontId="20" fillId="0" borderId="164" xfId="0" applyFont="1" applyBorder="1" applyAlignment="1">
      <alignment horizontal="center"/>
    </xf>
    <xf numFmtId="0" fontId="20" fillId="0" borderId="0" xfId="0" applyFont="1" applyAlignment="1">
      <alignment horizontal="center"/>
    </xf>
    <xf numFmtId="0" fontId="20" fillId="0" borderId="165" xfId="0" applyFont="1" applyBorder="1" applyAlignment="1">
      <alignment horizontal="center"/>
    </xf>
    <xf numFmtId="0" fontId="0" fillId="7" borderId="9" xfId="0" applyFill="1" applyBorder="1" applyAlignment="1">
      <alignment horizontal="left" vertical="top" wrapText="1"/>
    </xf>
    <xf numFmtId="0" fontId="0" fillId="7" borderId="24" xfId="0" applyFill="1" applyBorder="1" applyAlignment="1">
      <alignment horizontal="left" vertical="top" wrapText="1"/>
    </xf>
    <xf numFmtId="0" fontId="0" fillId="7" borderId="11" xfId="0" applyFill="1" applyBorder="1" applyAlignment="1">
      <alignment horizontal="left" vertical="top" wrapText="1"/>
    </xf>
    <xf numFmtId="49" fontId="0" fillId="0" borderId="23" xfId="0" applyNumberFormat="1" applyBorder="1" applyAlignment="1">
      <alignment horizontal="left" vertical="top" wrapText="1"/>
    </xf>
    <xf numFmtId="49" fontId="0" fillId="0" borderId="10" xfId="0" applyNumberFormat="1" applyBorder="1" applyAlignment="1">
      <alignment horizontal="left" vertical="top" wrapText="1"/>
    </xf>
    <xf numFmtId="0" fontId="20" fillId="0" borderId="0" xfId="0" applyFont="1" applyBorder="1" applyAlignment="1">
      <alignment horizontal="left" vertical="top"/>
    </xf>
    <xf numFmtId="0" fontId="0" fillId="2" borderId="19" xfId="0" applyFill="1" applyBorder="1" applyAlignment="1">
      <alignment horizontal="left" vertical="top" wrapText="1"/>
    </xf>
    <xf numFmtId="0" fontId="0" fillId="2" borderId="20" xfId="0" applyFill="1" applyBorder="1" applyAlignment="1">
      <alignment horizontal="left" vertical="top" wrapText="1"/>
    </xf>
    <xf numFmtId="0" fontId="17" fillId="25" borderId="21" xfId="0" applyFont="1" applyFill="1" applyBorder="1" applyAlignment="1">
      <alignment horizontal="left" vertical="top"/>
    </xf>
    <xf numFmtId="0" fontId="17" fillId="25" borderId="32" xfId="0" applyFont="1" applyFill="1" applyBorder="1" applyAlignment="1">
      <alignment horizontal="left" vertical="top"/>
    </xf>
    <xf numFmtId="0" fontId="18" fillId="0" borderId="3" xfId="0" applyFont="1" applyBorder="1" applyAlignment="1">
      <alignment horizontal="left" vertical="center"/>
    </xf>
    <xf numFmtId="0" fontId="18" fillId="0" borderId="0" xfId="0" applyFont="1" applyAlignment="1">
      <alignment horizontal="left" vertical="center"/>
    </xf>
    <xf numFmtId="0" fontId="18" fillId="17" borderId="0" xfId="0" applyFont="1" applyFill="1" applyAlignment="1">
      <alignment horizontal="left" vertical="center"/>
    </xf>
    <xf numFmtId="0" fontId="18" fillId="17" borderId="3" xfId="0" applyFont="1" applyFill="1" applyBorder="1" applyAlignment="1">
      <alignment horizontal="left" vertical="top"/>
    </xf>
    <xf numFmtId="0" fontId="18" fillId="17" borderId="0" xfId="0" applyFont="1" applyFill="1" applyAlignment="1">
      <alignment horizontal="left" vertical="top"/>
    </xf>
    <xf numFmtId="0" fontId="0" fillId="2" borderId="40" xfId="0" applyFill="1" applyBorder="1" applyAlignment="1">
      <alignment horizontal="left" vertical="top" wrapText="1"/>
    </xf>
    <xf numFmtId="0" fontId="0" fillId="2" borderId="41" xfId="0" applyFill="1" applyBorder="1" applyAlignment="1">
      <alignment horizontal="left" vertical="top" wrapText="1"/>
    </xf>
    <xf numFmtId="0" fontId="0" fillId="2" borderId="22" xfId="0" applyFill="1" applyBorder="1" applyAlignment="1">
      <alignment horizontal="left" vertical="top" wrapText="1"/>
    </xf>
    <xf numFmtId="0" fontId="0" fillId="7" borderId="26" xfId="0" applyFill="1" applyBorder="1" applyAlignment="1">
      <alignment horizontal="left" vertical="top" wrapText="1"/>
    </xf>
    <xf numFmtId="0" fontId="0" fillId="7" borderId="27" xfId="0" applyFill="1" applyBorder="1" applyAlignment="1">
      <alignment horizontal="left" vertical="top" wrapText="1"/>
    </xf>
    <xf numFmtId="0" fontId="0" fillId="7" borderId="28" xfId="0" applyFill="1" applyBorder="1" applyAlignment="1">
      <alignment horizontal="left" vertical="top" wrapText="1"/>
    </xf>
    <xf numFmtId="0" fontId="1" fillId="0" borderId="37" xfId="0" applyFont="1" applyBorder="1" applyAlignment="1">
      <alignment horizontal="left" vertical="top"/>
    </xf>
    <xf numFmtId="0" fontId="1" fillId="0" borderId="38" xfId="0" applyFont="1" applyBorder="1" applyAlignment="1">
      <alignment horizontal="left" vertical="top"/>
    </xf>
    <xf numFmtId="0" fontId="0" fillId="2" borderId="17" xfId="0" applyFill="1" applyBorder="1" applyAlignment="1">
      <alignment horizontal="left" vertical="top" wrapText="1"/>
    </xf>
    <xf numFmtId="0" fontId="0" fillId="2" borderId="18" xfId="0" applyFill="1" applyBorder="1" applyAlignment="1">
      <alignment horizontal="left" vertical="top" wrapText="1"/>
    </xf>
    <xf numFmtId="0" fontId="0" fillId="2" borderId="35" xfId="0" applyFill="1" applyBorder="1" applyAlignment="1">
      <alignment horizontal="left" vertical="top" wrapText="1"/>
    </xf>
    <xf numFmtId="0" fontId="0" fillId="2" borderId="36" xfId="0" applyFill="1" applyBorder="1" applyAlignment="1">
      <alignment horizontal="left" vertical="top" wrapText="1"/>
    </xf>
    <xf numFmtId="0" fontId="0" fillId="2" borderId="62" xfId="0" applyFill="1" applyBorder="1" applyAlignment="1">
      <alignment horizontal="left" vertical="top" wrapText="1"/>
    </xf>
    <xf numFmtId="0" fontId="0" fillId="2" borderId="95" xfId="0" applyFill="1" applyBorder="1" applyAlignment="1">
      <alignment horizontal="left" vertical="top" wrapText="1"/>
    </xf>
    <xf numFmtId="49" fontId="0" fillId="7" borderId="25" xfId="0" applyNumberFormat="1" applyFill="1" applyBorder="1" applyAlignment="1">
      <alignment horizontal="left" vertical="top" wrapText="1"/>
    </xf>
    <xf numFmtId="49" fontId="0" fillId="7" borderId="23" xfId="0" applyNumberFormat="1" applyFill="1" applyBorder="1" applyAlignment="1">
      <alignment horizontal="left" vertical="top" wrapText="1"/>
    </xf>
    <xf numFmtId="49" fontId="0" fillId="7" borderId="10" xfId="0" applyNumberFormat="1" applyFill="1" applyBorder="1" applyAlignment="1">
      <alignment horizontal="left" vertical="top" wrapText="1"/>
    </xf>
    <xf numFmtId="0" fontId="0" fillId="7" borderId="23" xfId="0" applyFill="1" applyBorder="1" applyAlignment="1">
      <alignment horizontal="left" vertical="top"/>
    </xf>
    <xf numFmtId="0" fontId="0" fillId="7" borderId="10" xfId="0" applyFill="1" applyBorder="1" applyAlignment="1">
      <alignment horizontal="left" vertical="top"/>
    </xf>
    <xf numFmtId="0" fontId="0" fillId="0" borderId="23" xfId="0" applyBorder="1" applyAlignment="1">
      <alignment horizontal="left" vertical="top"/>
    </xf>
    <xf numFmtId="0" fontId="0" fillId="0" borderId="10" xfId="0" applyBorder="1" applyAlignment="1">
      <alignment horizontal="left" vertical="top"/>
    </xf>
    <xf numFmtId="0" fontId="0" fillId="7" borderId="27" xfId="0" applyFill="1" applyBorder="1" applyAlignment="1">
      <alignment horizontal="left" vertical="top"/>
    </xf>
    <xf numFmtId="0" fontId="0" fillId="7" borderId="28" xfId="0" applyFill="1" applyBorder="1" applyAlignment="1">
      <alignment horizontal="left" vertical="top"/>
    </xf>
    <xf numFmtId="0" fontId="0" fillId="0" borderId="21" xfId="0" applyBorder="1" applyAlignment="1">
      <alignment horizontal="left" vertical="top" wrapText="1"/>
    </xf>
    <xf numFmtId="0" fontId="0" fillId="0" borderId="33" xfId="0" applyBorder="1" applyAlignment="1">
      <alignment horizontal="left" vertical="top"/>
    </xf>
    <xf numFmtId="0" fontId="0" fillId="0" borderId="32" xfId="0" applyBorder="1" applyAlignment="1">
      <alignment horizontal="left" vertical="top"/>
    </xf>
    <xf numFmtId="0" fontId="17" fillId="9" borderId="21" xfId="0" applyFont="1" applyFill="1" applyBorder="1" applyAlignment="1">
      <alignment horizontal="center" vertical="center"/>
    </xf>
    <xf numFmtId="0" fontId="17" fillId="9" borderId="32" xfId="0" applyFont="1" applyFill="1" applyBorder="1" applyAlignment="1">
      <alignment horizontal="center" vertical="center"/>
    </xf>
    <xf numFmtId="0" fontId="0" fillId="7" borderId="25" xfId="0" applyFill="1" applyBorder="1" applyAlignment="1">
      <alignment horizontal="left" wrapText="1"/>
    </xf>
    <xf numFmtId="0" fontId="0" fillId="7" borderId="23" xfId="0" applyFill="1" applyBorder="1" applyAlignment="1">
      <alignment horizontal="left"/>
    </xf>
    <xf numFmtId="0" fontId="0" fillId="7" borderId="10" xfId="0" applyFill="1" applyBorder="1" applyAlignment="1">
      <alignment horizontal="left"/>
    </xf>
    <xf numFmtId="0" fontId="0" fillId="0" borderId="33" xfId="0" applyBorder="1" applyAlignment="1">
      <alignment horizontal="left" vertical="top" wrapText="1"/>
    </xf>
    <xf numFmtId="0" fontId="0" fillId="0" borderId="32" xfId="0" applyBorder="1" applyAlignment="1">
      <alignment horizontal="left" vertical="top" wrapText="1"/>
    </xf>
    <xf numFmtId="0" fontId="20" fillId="14" borderId="2" xfId="0" applyFont="1" applyFill="1" applyBorder="1" applyAlignment="1">
      <alignment horizontal="center" vertical="center" wrapText="1"/>
    </xf>
    <xf numFmtId="0" fontId="20" fillId="14" borderId="16" xfId="0" applyFont="1" applyFill="1" applyBorder="1" applyAlignment="1">
      <alignment horizontal="center" vertical="center" wrapText="1"/>
    </xf>
    <xf numFmtId="0" fontId="20" fillId="14" borderId="3" xfId="0" applyFont="1" applyFill="1" applyBorder="1" applyAlignment="1">
      <alignment horizontal="center" vertical="center" wrapText="1"/>
    </xf>
    <xf numFmtId="0" fontId="20" fillId="14" borderId="14" xfId="0" applyFont="1" applyFill="1" applyBorder="1" applyAlignment="1">
      <alignment horizontal="center" vertical="center" wrapText="1"/>
    </xf>
    <xf numFmtId="0" fontId="20" fillId="14" borderId="19" xfId="0" applyFont="1" applyFill="1" applyBorder="1" applyAlignment="1">
      <alignment horizontal="center" vertical="center" wrapText="1"/>
    </xf>
    <xf numFmtId="0" fontId="20" fillId="14" borderId="20" xfId="0" applyFont="1" applyFill="1" applyBorder="1" applyAlignment="1">
      <alignment horizontal="center" vertical="center" wrapText="1"/>
    </xf>
    <xf numFmtId="0" fontId="62" fillId="2" borderId="2" xfId="0" applyFont="1" applyFill="1" applyBorder="1" applyAlignment="1">
      <alignment horizontal="center"/>
    </xf>
    <xf numFmtId="0" fontId="62" fillId="2" borderId="34" xfId="0" applyFont="1" applyFill="1" applyBorder="1" applyAlignment="1">
      <alignment horizontal="center"/>
    </xf>
    <xf numFmtId="0" fontId="62" fillId="2" borderId="19" xfId="0" applyFont="1" applyFill="1" applyBorder="1" applyAlignment="1">
      <alignment horizontal="center"/>
    </xf>
    <xf numFmtId="0" fontId="62" fillId="2" borderId="42" xfId="0" applyFont="1" applyFill="1" applyBorder="1" applyAlignment="1">
      <alignment horizontal="center"/>
    </xf>
    <xf numFmtId="0" fontId="20" fillId="14" borderId="2" xfId="0" applyFont="1" applyFill="1" applyBorder="1" applyAlignment="1">
      <alignment horizontal="center" vertical="center"/>
    </xf>
    <xf numFmtId="0" fontId="20" fillId="14" borderId="34" xfId="0" applyFont="1" applyFill="1" applyBorder="1" applyAlignment="1">
      <alignment horizontal="center" vertical="center"/>
    </xf>
    <xf numFmtId="0" fontId="20" fillId="14" borderId="16" xfId="0" applyFont="1" applyFill="1" applyBorder="1" applyAlignment="1">
      <alignment horizontal="center" vertical="center"/>
    </xf>
    <xf numFmtId="0" fontId="20" fillId="14" borderId="19" xfId="0" applyFont="1" applyFill="1" applyBorder="1" applyAlignment="1">
      <alignment horizontal="center" vertical="center"/>
    </xf>
    <xf numFmtId="0" fontId="20" fillId="14" borderId="42" xfId="0" applyFont="1" applyFill="1" applyBorder="1" applyAlignment="1">
      <alignment horizontal="center" vertical="center"/>
    </xf>
    <xf numFmtId="0" fontId="20" fillId="14" borderId="20" xfId="0" applyFont="1" applyFill="1" applyBorder="1" applyAlignment="1">
      <alignment horizontal="center" vertical="center"/>
    </xf>
    <xf numFmtId="0" fontId="20" fillId="7" borderId="21" xfId="0" applyFont="1" applyFill="1" applyBorder="1" applyAlignment="1">
      <alignment horizontal="center"/>
    </xf>
    <xf numFmtId="0" fontId="26" fillId="7" borderId="33" xfId="0" applyFont="1" applyFill="1" applyBorder="1" applyAlignment="1">
      <alignment horizontal="center"/>
    </xf>
    <xf numFmtId="0" fontId="26" fillId="7" borderId="32" xfId="0" applyFont="1" applyFill="1" applyBorder="1" applyAlignment="1">
      <alignment horizontal="center"/>
    </xf>
    <xf numFmtId="0" fontId="1" fillId="0" borderId="21" xfId="0" applyFont="1" applyBorder="1" applyAlignment="1">
      <alignment horizontal="center" vertical="center"/>
    </xf>
    <xf numFmtId="0" fontId="1" fillId="0" borderId="33" xfId="0" applyFont="1" applyBorder="1" applyAlignment="1">
      <alignment horizontal="center" vertical="center"/>
    </xf>
    <xf numFmtId="0" fontId="1" fillId="0" borderId="32" xfId="0" applyFont="1" applyBorder="1" applyAlignment="1">
      <alignment horizontal="center" vertical="center"/>
    </xf>
    <xf numFmtId="0" fontId="19" fillId="7" borderId="21" xfId="0" applyFont="1" applyFill="1" applyBorder="1" applyAlignment="1">
      <alignment horizontal="center"/>
    </xf>
    <xf numFmtId="0" fontId="19" fillId="7" borderId="33" xfId="0" applyFont="1" applyFill="1" applyBorder="1" applyAlignment="1">
      <alignment horizontal="center"/>
    </xf>
    <xf numFmtId="0" fontId="19" fillId="7" borderId="32" xfId="0" applyFont="1" applyFill="1" applyBorder="1" applyAlignment="1">
      <alignment horizontal="center"/>
    </xf>
    <xf numFmtId="0" fontId="19" fillId="7" borderId="21" xfId="0" applyFont="1" applyFill="1" applyBorder="1" applyAlignment="1">
      <alignment horizontal="center" vertical="center"/>
    </xf>
    <xf numFmtId="0" fontId="19" fillId="7" borderId="33" xfId="0" applyFont="1" applyFill="1" applyBorder="1" applyAlignment="1">
      <alignment horizontal="center" vertical="center"/>
    </xf>
    <xf numFmtId="0" fontId="19" fillId="7" borderId="32" xfId="0" applyFont="1" applyFill="1" applyBorder="1" applyAlignment="1">
      <alignment horizontal="center" vertical="center"/>
    </xf>
    <xf numFmtId="0" fontId="19" fillId="22" borderId="2" xfId="0" applyFont="1" applyFill="1" applyBorder="1" applyAlignment="1">
      <alignment horizontal="center"/>
    </xf>
    <xf numFmtId="0" fontId="19" fillId="22" borderId="34" xfId="0" applyFont="1" applyFill="1" applyBorder="1" applyAlignment="1">
      <alignment horizontal="center"/>
    </xf>
    <xf numFmtId="0" fontId="62" fillId="0" borderId="161" xfId="0" applyFont="1" applyBorder="1" applyAlignment="1">
      <alignment horizontal="center"/>
    </xf>
    <xf numFmtId="0" fontId="62" fillId="0" borderId="162" xfId="0" applyFont="1" applyBorder="1" applyAlignment="1">
      <alignment horizontal="center"/>
    </xf>
    <xf numFmtId="0" fontId="62" fillId="0" borderId="163" xfId="0" applyFont="1" applyBorder="1" applyAlignment="1">
      <alignment horizontal="center"/>
    </xf>
    <xf numFmtId="0" fontId="62" fillId="0" borderId="169" xfId="0" applyFont="1" applyBorder="1" applyAlignment="1">
      <alignment horizontal="center"/>
    </xf>
    <xf numFmtId="0" fontId="62" fillId="0" borderId="42" xfId="0" applyFont="1" applyBorder="1" applyAlignment="1">
      <alignment horizontal="center"/>
    </xf>
    <xf numFmtId="0" fontId="62" fillId="0" borderId="170" xfId="0" applyFont="1" applyBorder="1" applyAlignment="1">
      <alignment horizontal="center"/>
    </xf>
    <xf numFmtId="0" fontId="62" fillId="2" borderId="16" xfId="0" applyFont="1" applyFill="1" applyBorder="1" applyAlignment="1">
      <alignment horizontal="center"/>
    </xf>
    <xf numFmtId="0" fontId="62" fillId="2" borderId="20" xfId="0" applyFont="1" applyFill="1" applyBorder="1" applyAlignment="1">
      <alignment horizontal="center"/>
    </xf>
    <xf numFmtId="0" fontId="51" fillId="7" borderId="21" xfId="1" applyFont="1" applyFill="1" applyBorder="1" applyAlignment="1">
      <alignment horizontal="center"/>
    </xf>
    <xf numFmtId="0" fontId="51" fillId="7" borderId="32" xfId="1" applyFont="1" applyFill="1" applyBorder="1" applyAlignment="1">
      <alignment horizontal="center"/>
    </xf>
    <xf numFmtId="0" fontId="62" fillId="27" borderId="9" xfId="0" applyFont="1" applyFill="1" applyBorder="1" applyAlignment="1">
      <alignment horizontal="center"/>
    </xf>
    <xf numFmtId="0" fontId="62" fillId="27" borderId="24" xfId="0" applyFont="1" applyFill="1" applyBorder="1" applyAlignment="1">
      <alignment horizontal="center"/>
    </xf>
    <xf numFmtId="0" fontId="62" fillId="27" borderId="11" xfId="0" applyFont="1" applyFill="1" applyBorder="1" applyAlignment="1">
      <alignment horizontal="center"/>
    </xf>
    <xf numFmtId="0" fontId="0" fillId="4" borderId="0" xfId="0" applyFill="1" applyAlignment="1">
      <alignment horizontal="left" vertical="top"/>
    </xf>
    <xf numFmtId="0" fontId="0" fillId="17" borderId="0" xfId="0" applyFill="1" applyAlignment="1">
      <alignment horizontal="left" vertical="top"/>
    </xf>
    <xf numFmtId="0" fontId="0" fillId="7" borderId="0" xfId="0" applyFill="1" applyAlignment="1">
      <alignment horizontal="left" vertical="top"/>
    </xf>
    <xf numFmtId="0" fontId="19" fillId="22" borderId="16" xfId="0" applyFont="1" applyFill="1" applyBorder="1" applyAlignment="1">
      <alignment horizontal="center"/>
    </xf>
    <xf numFmtId="0" fontId="20" fillId="7" borderId="33" xfId="0" applyFont="1" applyFill="1" applyBorder="1" applyAlignment="1">
      <alignment horizontal="center"/>
    </xf>
    <xf numFmtId="0" fontId="20" fillId="7" borderId="32" xfId="0" applyFont="1" applyFill="1" applyBorder="1" applyAlignment="1">
      <alignment horizontal="center"/>
    </xf>
    <xf numFmtId="0" fontId="52" fillId="27" borderId="9" xfId="0" applyFont="1" applyFill="1" applyBorder="1" applyAlignment="1">
      <alignment horizontal="center"/>
    </xf>
    <xf numFmtId="0" fontId="52" fillId="27" borderId="24" xfId="0" applyFont="1" applyFill="1" applyBorder="1" applyAlignment="1">
      <alignment horizontal="center"/>
    </xf>
    <xf numFmtId="0" fontId="52" fillId="27" borderId="11" xfId="0" applyFont="1" applyFill="1" applyBorder="1" applyAlignment="1">
      <alignment horizontal="center"/>
    </xf>
    <xf numFmtId="0" fontId="0" fillId="7" borderId="32" xfId="0" applyFill="1" applyBorder="1" applyAlignment="1">
      <alignment horizontal="center"/>
    </xf>
    <xf numFmtId="0" fontId="74" fillId="10" borderId="1" xfId="0" applyFont="1" applyFill="1" applyBorder="1" applyAlignment="1">
      <alignment horizontal="center" vertical="center"/>
    </xf>
    <xf numFmtId="0" fontId="70" fillId="10" borderId="1" xfId="0" applyFont="1" applyFill="1" applyBorder="1" applyAlignment="1">
      <alignment horizontal="center" vertical="center"/>
    </xf>
    <xf numFmtId="0" fontId="26" fillId="5" borderId="21" xfId="0" applyFont="1" applyFill="1" applyBorder="1" applyAlignment="1">
      <alignment horizontal="center"/>
    </xf>
    <xf numFmtId="0" fontId="26" fillId="5" borderId="33" xfId="0" applyFont="1" applyFill="1" applyBorder="1" applyAlignment="1">
      <alignment horizontal="center"/>
    </xf>
    <xf numFmtId="0" fontId="26" fillId="5" borderId="32" xfId="0" applyFont="1" applyFill="1" applyBorder="1" applyAlignment="1">
      <alignment horizontal="center"/>
    </xf>
    <xf numFmtId="0" fontId="26" fillId="5" borderId="19" xfId="0" applyFont="1" applyFill="1" applyBorder="1" applyAlignment="1">
      <alignment horizontal="center"/>
    </xf>
    <xf numFmtId="0" fontId="26" fillId="5" borderId="42" xfId="0" applyFont="1" applyFill="1" applyBorder="1" applyAlignment="1">
      <alignment horizontal="center"/>
    </xf>
    <xf numFmtId="0" fontId="26" fillId="5" borderId="20" xfId="0" applyFont="1" applyFill="1" applyBorder="1" applyAlignment="1">
      <alignment horizontal="center"/>
    </xf>
    <xf numFmtId="0" fontId="62" fillId="2" borderId="2" xfId="0" applyFont="1" applyFill="1" applyBorder="1" applyAlignment="1">
      <alignment horizontal="center" vertical="center"/>
    </xf>
    <xf numFmtId="0" fontId="62" fillId="2" borderId="34" xfId="0" applyFont="1" applyFill="1" applyBorder="1" applyAlignment="1">
      <alignment horizontal="center" vertical="center"/>
    </xf>
    <xf numFmtId="0" fontId="62" fillId="2" borderId="16" xfId="0" applyFont="1" applyFill="1" applyBorder="1" applyAlignment="1">
      <alignment horizontal="center" vertical="center"/>
    </xf>
    <xf numFmtId="0" fontId="62" fillId="2" borderId="19" xfId="0" applyFont="1" applyFill="1" applyBorder="1" applyAlignment="1">
      <alignment horizontal="center" vertical="center"/>
    </xf>
    <xf numFmtId="0" fontId="62" fillId="2" borderId="42" xfId="0" applyFont="1" applyFill="1" applyBorder="1" applyAlignment="1">
      <alignment horizontal="center" vertical="center"/>
    </xf>
    <xf numFmtId="0" fontId="62" fillId="2" borderId="20" xfId="0" applyFont="1" applyFill="1" applyBorder="1" applyAlignment="1">
      <alignment horizontal="center" vertical="center"/>
    </xf>
    <xf numFmtId="0" fontId="20" fillId="14" borderId="40" xfId="0" applyFont="1" applyFill="1" applyBorder="1" applyAlignment="1">
      <alignment horizontal="center" vertical="center" wrapText="1"/>
    </xf>
    <xf numFmtId="0" fontId="20" fillId="14" borderId="41" xfId="0" applyFont="1" applyFill="1" applyBorder="1" applyAlignment="1">
      <alignment horizontal="center" vertical="center" wrapText="1"/>
    </xf>
    <xf numFmtId="0" fontId="20" fillId="14" borderId="22" xfId="0" applyFont="1" applyFill="1" applyBorder="1" applyAlignment="1">
      <alignment horizontal="center" vertical="center" wrapText="1"/>
    </xf>
    <xf numFmtId="0" fontId="20" fillId="7" borderId="21" xfId="0" applyFont="1" applyFill="1" applyBorder="1" applyAlignment="1">
      <alignment horizontal="center" vertical="center"/>
    </xf>
    <xf numFmtId="0" fontId="20" fillId="7" borderId="33" xfId="0" applyFont="1" applyFill="1" applyBorder="1" applyAlignment="1">
      <alignment horizontal="center" vertical="center"/>
    </xf>
    <xf numFmtId="0" fontId="0" fillId="4" borderId="66" xfId="0" applyFill="1" applyBorder="1" applyAlignment="1">
      <alignment horizontal="left" vertical="top"/>
    </xf>
    <xf numFmtId="0" fontId="0" fillId="4" borderId="67" xfId="0" applyFill="1" applyBorder="1" applyAlignment="1">
      <alignment horizontal="left" vertical="top"/>
    </xf>
    <xf numFmtId="0" fontId="0" fillId="4" borderId="25" xfId="0" applyFill="1" applyBorder="1" applyAlignment="1">
      <alignment horizontal="center"/>
    </xf>
    <xf numFmtId="0" fontId="0" fillId="4" borderId="10" xfId="0" applyFill="1" applyBorder="1" applyAlignment="1">
      <alignment horizontal="center"/>
    </xf>
    <xf numFmtId="0" fontId="0" fillId="3" borderId="9" xfId="0" applyFill="1" applyBorder="1" applyAlignment="1">
      <alignment horizontal="center"/>
    </xf>
    <xf numFmtId="0" fontId="0" fillId="3" borderId="11" xfId="0" applyFill="1" applyBorder="1" applyAlignment="1">
      <alignment horizontal="center"/>
    </xf>
    <xf numFmtId="0" fontId="0" fillId="4" borderId="25" xfId="0" applyFill="1" applyBorder="1" applyAlignment="1">
      <alignment horizontal="left" vertical="top"/>
    </xf>
    <xf numFmtId="0" fontId="0" fillId="4" borderId="23" xfId="0" applyFill="1" applyBorder="1" applyAlignment="1">
      <alignment horizontal="left" vertical="top"/>
    </xf>
    <xf numFmtId="0" fontId="0" fillId="4" borderId="10" xfId="0" applyFill="1" applyBorder="1" applyAlignment="1">
      <alignment horizontal="left" vertical="top"/>
    </xf>
    <xf numFmtId="0" fontId="1" fillId="12" borderId="40" xfId="0" applyFont="1" applyFill="1" applyBorder="1" applyAlignment="1">
      <alignment horizontal="left" vertical="top" wrapText="1"/>
    </xf>
    <xf numFmtId="0" fontId="1" fillId="12" borderId="41" xfId="0" applyFont="1" applyFill="1" applyBorder="1" applyAlignment="1">
      <alignment horizontal="left" vertical="top" wrapText="1"/>
    </xf>
    <xf numFmtId="0" fontId="1" fillId="12" borderId="22" xfId="0" applyFont="1" applyFill="1" applyBorder="1" applyAlignment="1">
      <alignment horizontal="left" vertical="top" wrapText="1"/>
    </xf>
    <xf numFmtId="0" fontId="1" fillId="8" borderId="2" xfId="0" applyFont="1" applyFill="1" applyBorder="1" applyAlignment="1">
      <alignment horizontal="center" vertical="center"/>
    </xf>
    <xf numFmtId="0" fontId="1" fillId="8" borderId="34" xfId="0" applyFont="1" applyFill="1" applyBorder="1" applyAlignment="1">
      <alignment horizontal="center" vertical="center"/>
    </xf>
    <xf numFmtId="0" fontId="1" fillId="8" borderId="16" xfId="0" applyFont="1" applyFill="1" applyBorder="1" applyAlignment="1">
      <alignment horizontal="center" vertical="center"/>
    </xf>
    <xf numFmtId="0" fontId="1" fillId="8" borderId="3" xfId="0" applyFont="1" applyFill="1" applyBorder="1" applyAlignment="1">
      <alignment horizontal="center" vertical="center"/>
    </xf>
    <xf numFmtId="0" fontId="1" fillId="8" borderId="0" xfId="0" applyFont="1" applyFill="1" applyAlignment="1">
      <alignment horizontal="center" vertical="center"/>
    </xf>
    <xf numFmtId="0" fontId="1" fillId="8" borderId="14" xfId="0" applyFont="1" applyFill="1" applyBorder="1" applyAlignment="1">
      <alignment horizontal="center" vertical="center"/>
    </xf>
    <xf numFmtId="0" fontId="0" fillId="4" borderId="45" xfId="0" applyFill="1" applyBorder="1" applyAlignment="1">
      <alignment horizontal="left" vertical="top"/>
    </xf>
    <xf numFmtId="0" fontId="0" fillId="10" borderId="0" xfId="0" applyFill="1" applyAlignment="1">
      <alignment horizontal="left" vertical="top"/>
    </xf>
    <xf numFmtId="0" fontId="0" fillId="12" borderId="0" xfId="0" applyFill="1" applyAlignment="1">
      <alignment horizontal="left" vertical="top"/>
    </xf>
    <xf numFmtId="0" fontId="1" fillId="7" borderId="40" xfId="0" applyFont="1" applyFill="1" applyBorder="1" applyAlignment="1">
      <alignment horizontal="left" vertical="top" wrapText="1"/>
    </xf>
    <xf numFmtId="0" fontId="1" fillId="7" borderId="41" xfId="0" applyFont="1" applyFill="1" applyBorder="1" applyAlignment="1">
      <alignment horizontal="left" vertical="top" wrapText="1"/>
    </xf>
    <xf numFmtId="0" fontId="1" fillId="7" borderId="22" xfId="0" applyFont="1" applyFill="1" applyBorder="1" applyAlignment="1">
      <alignment horizontal="left" vertical="top" wrapText="1"/>
    </xf>
    <xf numFmtId="0" fontId="1" fillId="8" borderId="19" xfId="0" applyFont="1" applyFill="1" applyBorder="1" applyAlignment="1">
      <alignment horizontal="center" vertical="center"/>
    </xf>
    <xf numFmtId="0" fontId="1" fillId="8" borderId="42" xfId="0" applyFont="1" applyFill="1" applyBorder="1" applyAlignment="1">
      <alignment horizontal="center" vertical="center"/>
    </xf>
    <xf numFmtId="0" fontId="1" fillId="8" borderId="20" xfId="0" applyFont="1" applyFill="1" applyBorder="1" applyAlignment="1">
      <alignment horizontal="center" vertical="center"/>
    </xf>
    <xf numFmtId="0" fontId="0" fillId="4" borderId="2" xfId="0" applyFill="1" applyBorder="1" applyAlignment="1">
      <alignment horizontal="center"/>
    </xf>
    <xf numFmtId="0" fontId="0" fillId="4" borderId="16" xfId="0" applyFill="1" applyBorder="1" applyAlignment="1">
      <alignment horizontal="center"/>
    </xf>
    <xf numFmtId="0" fontId="0" fillId="4" borderId="3" xfId="0" applyFill="1" applyBorder="1" applyAlignment="1">
      <alignment horizontal="center"/>
    </xf>
    <xf numFmtId="0" fontId="0" fillId="4" borderId="14" xfId="0" applyFill="1" applyBorder="1" applyAlignment="1">
      <alignment horizontal="center"/>
    </xf>
    <xf numFmtId="0" fontId="0" fillId="4" borderId="19" xfId="0" applyFill="1" applyBorder="1" applyAlignment="1">
      <alignment horizontal="center"/>
    </xf>
    <xf numFmtId="0" fontId="0" fillId="4" borderId="20" xfId="0" applyFill="1" applyBorder="1" applyAlignment="1">
      <alignment horizontal="center"/>
    </xf>
    <xf numFmtId="0" fontId="1" fillId="0" borderId="9" xfId="0" applyFont="1" applyBorder="1" applyAlignment="1">
      <alignment horizontal="center"/>
    </xf>
    <xf numFmtId="0" fontId="1" fillId="0" borderId="11" xfId="0" applyFont="1" applyBorder="1" applyAlignment="1">
      <alignment horizontal="center"/>
    </xf>
    <xf numFmtId="0" fontId="20" fillId="17" borderId="3" xfId="0" applyFont="1" applyFill="1" applyBorder="1" applyAlignment="1">
      <alignment horizontal="center"/>
    </xf>
    <xf numFmtId="0" fontId="20" fillId="17" borderId="0" xfId="0" applyFont="1" applyFill="1" applyAlignment="1">
      <alignment horizontal="center"/>
    </xf>
    <xf numFmtId="0" fontId="20" fillId="17" borderId="14" xfId="0" applyFont="1" applyFill="1" applyBorder="1" applyAlignment="1">
      <alignment horizontal="center"/>
    </xf>
    <xf numFmtId="0" fontId="1" fillId="0" borderId="24" xfId="0" applyFont="1" applyBorder="1" applyAlignment="1">
      <alignment horizontal="center"/>
    </xf>
    <xf numFmtId="0" fontId="20" fillId="11" borderId="32" xfId="0" applyFont="1" applyFill="1" applyBorder="1" applyAlignment="1">
      <alignment horizontal="center"/>
    </xf>
    <xf numFmtId="0" fontId="20" fillId="12" borderId="9" xfId="0" applyFont="1" applyFill="1" applyBorder="1" applyAlignment="1">
      <alignment horizontal="center"/>
    </xf>
    <xf numFmtId="0" fontId="20" fillId="12" borderId="11" xfId="0" applyFont="1" applyFill="1" applyBorder="1" applyAlignment="1">
      <alignment horizontal="center"/>
    </xf>
    <xf numFmtId="0" fontId="0" fillId="0" borderId="0" xfId="0" applyAlignment="1">
      <alignment horizontal="center" vertical="top" wrapText="1"/>
    </xf>
    <xf numFmtId="0" fontId="58" fillId="25" borderId="32" xfId="0" applyFont="1" applyFill="1" applyBorder="1" applyAlignment="1">
      <alignment horizontal="center" vertical="top"/>
    </xf>
    <xf numFmtId="0" fontId="1" fillId="17" borderId="24" xfId="0" applyFont="1" applyFill="1" applyBorder="1" applyAlignment="1">
      <alignment horizontal="center"/>
    </xf>
    <xf numFmtId="0" fontId="1" fillId="17" borderId="11" xfId="0" applyFont="1" applyFill="1" applyBorder="1" applyAlignment="1">
      <alignment horizontal="center"/>
    </xf>
    <xf numFmtId="0" fontId="1" fillId="17" borderId="9" xfId="0" applyFont="1" applyFill="1" applyBorder="1" applyAlignment="1">
      <alignment horizontal="center"/>
    </xf>
    <xf numFmtId="0" fontId="1" fillId="12" borderId="9" xfId="0" applyFont="1" applyFill="1" applyBorder="1" applyAlignment="1">
      <alignment horizontal="center"/>
    </xf>
    <xf numFmtId="0" fontId="1" fillId="12" borderId="11" xfId="0" applyFont="1" applyFill="1" applyBorder="1" applyAlignment="1">
      <alignment horizontal="center"/>
    </xf>
    <xf numFmtId="0" fontId="20" fillId="20" borderId="19" xfId="0" applyFont="1" applyFill="1" applyBorder="1" applyAlignment="1">
      <alignment horizontal="center" vertical="center"/>
    </xf>
    <xf numFmtId="0" fontId="20" fillId="20" borderId="21" xfId="0" applyFont="1" applyFill="1" applyBorder="1" applyAlignment="1">
      <alignment horizontal="center"/>
    </xf>
    <xf numFmtId="0" fontId="20" fillId="20" borderId="32" xfId="0" applyFont="1" applyFill="1" applyBorder="1" applyAlignment="1">
      <alignment horizontal="center"/>
    </xf>
    <xf numFmtId="0" fontId="20" fillId="17" borderId="20" xfId="0" applyFont="1" applyFill="1" applyBorder="1" applyAlignment="1">
      <alignment horizontal="center"/>
    </xf>
    <xf numFmtId="0" fontId="1" fillId="14" borderId="37" xfId="0" applyFont="1" applyFill="1" applyBorder="1" applyAlignment="1">
      <alignment horizontal="left" vertical="top"/>
    </xf>
    <xf numFmtId="0" fontId="1" fillId="14" borderId="38" xfId="0" applyFont="1" applyFill="1" applyBorder="1" applyAlignment="1">
      <alignment horizontal="left" vertical="top"/>
    </xf>
    <xf numFmtId="0" fontId="1" fillId="12" borderId="21" xfId="0" applyFont="1" applyFill="1" applyBorder="1" applyAlignment="1">
      <alignment horizontal="center" vertical="center"/>
    </xf>
    <xf numFmtId="0" fontId="1" fillId="12" borderId="33" xfId="0" applyFont="1" applyFill="1" applyBorder="1" applyAlignment="1">
      <alignment horizontal="center" vertical="center"/>
    </xf>
    <xf numFmtId="0" fontId="58" fillId="17" borderId="33" xfId="0" applyFont="1" applyFill="1" applyBorder="1" applyAlignment="1">
      <alignment horizontal="center" vertical="top"/>
    </xf>
    <xf numFmtId="0" fontId="0" fillId="8" borderId="32" xfId="0" applyFill="1" applyBorder="1" applyAlignment="1">
      <alignment horizontal="center"/>
    </xf>
    <xf numFmtId="0" fontId="20" fillId="20" borderId="33" xfId="0" applyFont="1" applyFill="1" applyBorder="1" applyAlignment="1">
      <alignment horizontal="center"/>
    </xf>
    <xf numFmtId="0" fontId="20" fillId="20" borderId="19" xfId="0" applyFont="1" applyFill="1" applyBorder="1" applyAlignment="1">
      <alignment horizontal="center"/>
    </xf>
    <xf numFmtId="0" fontId="20" fillId="20" borderId="20" xfId="0" applyFont="1" applyFill="1" applyBorder="1" applyAlignment="1">
      <alignment horizontal="center"/>
    </xf>
    <xf numFmtId="0" fontId="1" fillId="2" borderId="21" xfId="0" applyFont="1" applyFill="1" applyBorder="1" applyAlignment="1">
      <alignment horizontal="center"/>
    </xf>
    <xf numFmtId="0" fontId="1" fillId="2" borderId="32" xfId="0" applyFont="1" applyFill="1" applyBorder="1" applyAlignment="1">
      <alignment horizontal="center"/>
    </xf>
    <xf numFmtId="0" fontId="20" fillId="20" borderId="3" xfId="0" applyFont="1" applyFill="1" applyBorder="1" applyAlignment="1">
      <alignment horizontal="center"/>
    </xf>
    <xf numFmtId="0" fontId="20" fillId="20" borderId="0" xfId="0" applyFont="1" applyFill="1" applyAlignment="1">
      <alignment horizontal="center"/>
    </xf>
    <xf numFmtId="0" fontId="20" fillId="14" borderId="40" xfId="0" applyFont="1" applyFill="1" applyBorder="1" applyAlignment="1">
      <alignment horizontal="center" vertical="top"/>
    </xf>
    <xf numFmtId="0" fontId="20" fillId="14" borderId="22" xfId="0" applyFont="1" applyFill="1" applyBorder="1" applyAlignment="1">
      <alignment horizontal="center" vertical="top"/>
    </xf>
    <xf numFmtId="0" fontId="58" fillId="9" borderId="2" xfId="0" applyFont="1" applyFill="1" applyBorder="1" applyAlignment="1">
      <alignment horizontal="center" vertical="center"/>
    </xf>
    <xf numFmtId="0" fontId="58" fillId="9" borderId="16" xfId="0" applyFont="1" applyFill="1" applyBorder="1" applyAlignment="1">
      <alignment horizontal="center" vertical="center"/>
    </xf>
    <xf numFmtId="0" fontId="58" fillId="9" borderId="19" xfId="0" applyFont="1" applyFill="1" applyBorder="1" applyAlignment="1">
      <alignment horizontal="center" vertical="center"/>
    </xf>
    <xf numFmtId="0" fontId="58" fillId="9" borderId="20" xfId="0" applyFont="1" applyFill="1" applyBorder="1" applyAlignment="1">
      <alignment horizontal="center" vertical="center"/>
    </xf>
    <xf numFmtId="0" fontId="58" fillId="17" borderId="21" xfId="0" applyFont="1" applyFill="1" applyBorder="1" applyAlignment="1">
      <alignment horizontal="center" vertical="center"/>
    </xf>
    <xf numFmtId="0" fontId="58" fillId="17" borderId="32" xfId="0" applyFont="1" applyFill="1" applyBorder="1" applyAlignment="1">
      <alignment horizontal="center" vertical="center"/>
    </xf>
    <xf numFmtId="0" fontId="58" fillId="17" borderId="2" xfId="0" applyFont="1" applyFill="1" applyBorder="1" applyAlignment="1">
      <alignment horizontal="center" vertical="top"/>
    </xf>
    <xf numFmtId="0" fontId="58" fillId="17" borderId="16" xfId="0" applyFont="1" applyFill="1" applyBorder="1" applyAlignment="1">
      <alignment horizontal="center" vertical="top"/>
    </xf>
    <xf numFmtId="0" fontId="20" fillId="6" borderId="21" xfId="0" applyFont="1" applyFill="1" applyBorder="1" applyAlignment="1">
      <alignment horizontal="center"/>
    </xf>
    <xf numFmtId="0" fontId="20" fillId="6" borderId="33" xfId="0" applyFont="1" applyFill="1" applyBorder="1" applyAlignment="1">
      <alignment horizontal="center"/>
    </xf>
    <xf numFmtId="0" fontId="20" fillId="6" borderId="32" xfId="0" applyFont="1" applyFill="1" applyBorder="1" applyAlignment="1">
      <alignment horizontal="center"/>
    </xf>
    <xf numFmtId="0" fontId="20" fillId="0" borderId="2" xfId="0" applyFont="1" applyBorder="1" applyAlignment="1">
      <alignment horizontal="center" vertical="top"/>
    </xf>
    <xf numFmtId="0" fontId="20" fillId="0" borderId="16" xfId="0" applyFont="1" applyBorder="1" applyAlignment="1">
      <alignment horizontal="center" vertical="top"/>
    </xf>
    <xf numFmtId="0" fontId="20" fillId="0" borderId="19" xfId="0" applyFont="1" applyBorder="1" applyAlignment="1">
      <alignment horizontal="center" vertical="top"/>
    </xf>
    <xf numFmtId="0" fontId="20" fillId="0" borderId="20" xfId="0" applyFont="1" applyBorder="1" applyAlignment="1">
      <alignment horizontal="center" vertical="top"/>
    </xf>
    <xf numFmtId="0" fontId="26" fillId="17" borderId="42" xfId="0" applyFont="1" applyFill="1" applyBorder="1" applyAlignment="1">
      <alignment horizontal="center" vertical="top"/>
    </xf>
    <xf numFmtId="0" fontId="26" fillId="17" borderId="20" xfId="0" applyFont="1" applyFill="1" applyBorder="1" applyAlignment="1">
      <alignment horizontal="center" vertical="top"/>
    </xf>
    <xf numFmtId="0" fontId="20" fillId="10" borderId="19" xfId="0" applyFont="1" applyFill="1" applyBorder="1" applyAlignment="1">
      <alignment horizontal="center"/>
    </xf>
    <xf numFmtId="0" fontId="20" fillId="10" borderId="42" xfId="0" applyFont="1" applyFill="1" applyBorder="1" applyAlignment="1">
      <alignment horizontal="center"/>
    </xf>
    <xf numFmtId="0" fontId="20" fillId="10" borderId="20" xfId="0" applyFont="1" applyFill="1" applyBorder="1" applyAlignment="1">
      <alignment horizontal="center"/>
    </xf>
    <xf numFmtId="0" fontId="26" fillId="17" borderId="42" xfId="0" applyFont="1" applyFill="1" applyBorder="1" applyAlignment="1">
      <alignment horizontal="center"/>
    </xf>
    <xf numFmtId="0" fontId="26" fillId="17" borderId="20" xfId="0" applyFont="1" applyFill="1" applyBorder="1" applyAlignment="1">
      <alignment horizontal="center"/>
    </xf>
    <xf numFmtId="0" fontId="20" fillId="2" borderId="21" xfId="0" applyFont="1" applyFill="1" applyBorder="1" applyAlignment="1">
      <alignment horizontal="center"/>
    </xf>
    <xf numFmtId="0" fontId="20" fillId="2" borderId="32" xfId="0" applyFont="1" applyFill="1" applyBorder="1" applyAlignment="1">
      <alignment horizontal="center"/>
    </xf>
    <xf numFmtId="0" fontId="1" fillId="0" borderId="21" xfId="0" applyFont="1" applyBorder="1" applyAlignment="1">
      <alignment horizontal="center" vertical="top"/>
    </xf>
    <xf numFmtId="0" fontId="1" fillId="0" borderId="32" xfId="0" applyFont="1" applyBorder="1" applyAlignment="1">
      <alignment horizontal="center" vertical="top"/>
    </xf>
    <xf numFmtId="0" fontId="0" fillId="0" borderId="25" xfId="0" applyBorder="1" applyAlignment="1">
      <alignment vertical="center" wrapText="1"/>
    </xf>
    <xf numFmtId="0" fontId="0" fillId="0" borderId="23" xfId="0" applyBorder="1" applyAlignment="1">
      <alignment vertical="center" wrapText="1"/>
    </xf>
    <xf numFmtId="0" fontId="0" fillId="0" borderId="10" xfId="0" applyBorder="1" applyAlignment="1">
      <alignment vertical="center" wrapText="1"/>
    </xf>
    <xf numFmtId="0" fontId="0" fillId="0" borderId="26" xfId="0" applyBorder="1" applyAlignment="1">
      <alignment vertical="center" wrapText="1"/>
    </xf>
    <xf numFmtId="0" fontId="0" fillId="0" borderId="27" xfId="0" applyBorder="1" applyAlignment="1">
      <alignment vertical="center" wrapText="1"/>
    </xf>
    <xf numFmtId="0" fontId="0" fillId="0" borderId="28" xfId="0" applyBorder="1" applyAlignment="1">
      <alignment vertical="center" wrapText="1"/>
    </xf>
    <xf numFmtId="0" fontId="0" fillId="7" borderId="9" xfId="0" applyFill="1" applyBorder="1" applyAlignment="1">
      <alignment vertical="center" wrapText="1"/>
    </xf>
    <xf numFmtId="0" fontId="0" fillId="7" borderId="24" xfId="0" applyFill="1" applyBorder="1" applyAlignment="1">
      <alignment vertical="center" wrapText="1"/>
    </xf>
    <xf numFmtId="0" fontId="0" fillId="7" borderId="11" xfId="0" applyFill="1" applyBorder="1" applyAlignment="1">
      <alignment vertical="center" wrapText="1"/>
    </xf>
    <xf numFmtId="49" fontId="0" fillId="0" borderId="25" xfId="0" applyNumberFormat="1" applyBorder="1" applyAlignment="1">
      <alignment vertical="center" wrapText="1"/>
    </xf>
    <xf numFmtId="49" fontId="0" fillId="0" borderId="23" xfId="0" applyNumberFormat="1" applyBorder="1" applyAlignment="1">
      <alignment vertical="center" wrapText="1"/>
    </xf>
    <xf numFmtId="49" fontId="0" fillId="0" borderId="10" xfId="0" applyNumberFormat="1" applyBorder="1" applyAlignment="1">
      <alignment vertical="center" wrapText="1"/>
    </xf>
    <xf numFmtId="0" fontId="0" fillId="7" borderId="25" xfId="0" applyFill="1" applyBorder="1" applyAlignment="1">
      <alignment vertical="center" wrapText="1"/>
    </xf>
    <xf numFmtId="0" fontId="0" fillId="7" borderId="23" xfId="0" applyFill="1" applyBorder="1" applyAlignment="1">
      <alignment vertical="center" wrapText="1"/>
    </xf>
    <xf numFmtId="0" fontId="0" fillId="7" borderId="10" xfId="0" applyFill="1" applyBorder="1" applyAlignment="1">
      <alignment vertical="center" wrapText="1"/>
    </xf>
    <xf numFmtId="0" fontId="1" fillId="7" borderId="66" xfId="0" applyFont="1" applyFill="1" applyBorder="1" applyAlignment="1">
      <alignment horizontal="center" vertical="center"/>
    </xf>
    <xf numFmtId="0" fontId="1" fillId="7" borderId="3" xfId="0" applyFont="1" applyFill="1" applyBorder="1" applyAlignment="1">
      <alignment horizontal="center" vertical="center"/>
    </xf>
    <xf numFmtId="0" fontId="1" fillId="7" borderId="19" xfId="0" applyFont="1" applyFill="1" applyBorder="1" applyAlignment="1">
      <alignment horizontal="center" vertical="center"/>
    </xf>
    <xf numFmtId="0" fontId="0" fillId="0" borderId="0" xfId="0" applyAlignment="1">
      <alignment horizontal="left" vertical="top" wrapText="1"/>
    </xf>
    <xf numFmtId="0" fontId="0" fillId="0" borderId="14" xfId="0" applyBorder="1" applyAlignment="1">
      <alignment horizontal="left" vertical="top" wrapText="1"/>
    </xf>
    <xf numFmtId="0" fontId="0" fillId="0" borderId="42" xfId="0" applyBorder="1" applyAlignment="1">
      <alignment horizontal="left" vertical="top" wrapText="1"/>
    </xf>
    <xf numFmtId="0" fontId="0" fillId="0" borderId="20" xfId="0" applyBorder="1" applyAlignment="1">
      <alignment horizontal="left" vertical="top" wrapText="1"/>
    </xf>
    <xf numFmtId="0" fontId="27" fillId="0" borderId="42" xfId="0" applyFont="1" applyBorder="1" applyAlignment="1">
      <alignment horizontal="left" vertical="center"/>
    </xf>
    <xf numFmtId="0" fontId="0" fillId="0" borderId="17" xfId="0" applyBorder="1" applyAlignment="1">
      <alignment horizontal="center" vertical="center" wrapText="1"/>
    </xf>
    <xf numFmtId="0" fontId="0" fillId="0" borderId="35" xfId="0" applyBorder="1" applyAlignment="1">
      <alignment horizontal="center" vertical="center" wrapText="1"/>
    </xf>
    <xf numFmtId="0" fontId="0" fillId="0" borderId="51" xfId="0" applyBorder="1" applyAlignment="1">
      <alignment horizontal="center" vertical="center" wrapText="1"/>
    </xf>
    <xf numFmtId="0" fontId="0" fillId="0" borderId="49" xfId="0" applyBorder="1" applyAlignment="1">
      <alignment horizontal="center" vertical="center" wrapText="1"/>
    </xf>
    <xf numFmtId="0" fontId="0" fillId="0" borderId="37" xfId="0" applyBorder="1" applyAlignment="1">
      <alignment horizontal="center" vertical="center" wrapText="1"/>
    </xf>
    <xf numFmtId="0" fontId="0" fillId="0" borderId="60" xfId="0" applyBorder="1" applyAlignment="1">
      <alignment horizontal="center" vertical="center" wrapText="1"/>
    </xf>
    <xf numFmtId="0" fontId="0" fillId="0" borderId="59" xfId="0" applyBorder="1" applyAlignment="1">
      <alignment horizontal="center" vertical="center" wrapText="1"/>
    </xf>
    <xf numFmtId="0" fontId="0" fillId="0" borderId="61" xfId="0" applyBorder="1" applyAlignment="1">
      <alignment horizontal="center" vertical="center" wrapText="1"/>
    </xf>
    <xf numFmtId="0" fontId="0" fillId="0" borderId="12" xfId="0" applyBorder="1" applyAlignment="1">
      <alignment horizontal="center" vertical="center" wrapText="1"/>
    </xf>
    <xf numFmtId="0" fontId="0" fillId="0" borderId="62" xfId="0" applyBorder="1" applyAlignment="1">
      <alignment horizontal="center" vertical="center" wrapText="1"/>
    </xf>
    <xf numFmtId="0" fontId="0" fillId="0" borderId="31" xfId="0" applyBorder="1" applyAlignment="1">
      <alignment horizontal="center" vertical="center" wrapText="1"/>
    </xf>
    <xf numFmtId="0" fontId="6" fillId="0" borderId="34" xfId="1" applyFont="1" applyBorder="1" applyAlignment="1">
      <alignment horizontal="left" vertical="top"/>
    </xf>
    <xf numFmtId="0" fontId="1" fillId="7" borderId="29" xfId="0" applyFont="1" applyFill="1" applyBorder="1" applyAlignment="1">
      <alignment horizontal="center" vertical="center"/>
    </xf>
    <xf numFmtId="0" fontId="0" fillId="0" borderId="44" xfId="0" applyBorder="1" applyAlignment="1">
      <alignment horizontal="left" vertical="top" wrapText="1"/>
    </xf>
    <xf numFmtId="0" fontId="0" fillId="0" borderId="30" xfId="0" applyBorder="1" applyAlignment="1">
      <alignment horizontal="left" vertical="top" wrapText="1"/>
    </xf>
    <xf numFmtId="0" fontId="0" fillId="0" borderId="19" xfId="0" applyBorder="1" applyAlignment="1">
      <alignment horizontal="left" vertical="top" wrapText="1"/>
    </xf>
    <xf numFmtId="0" fontId="30" fillId="0" borderId="34" xfId="0" applyFont="1" applyBorder="1" applyAlignment="1">
      <alignment horizontal="left" vertical="top"/>
    </xf>
    <xf numFmtId="0" fontId="27" fillId="0" borderId="0" xfId="0" applyFont="1" applyAlignment="1">
      <alignment horizontal="left" vertical="center"/>
    </xf>
    <xf numFmtId="0" fontId="1" fillId="0" borderId="17" xfId="0" applyFont="1" applyBorder="1" applyAlignment="1">
      <alignment horizontal="center"/>
    </xf>
    <xf numFmtId="0" fontId="1" fillId="0" borderId="18" xfId="0" applyFont="1" applyBorder="1" applyAlignment="1">
      <alignment horizontal="center"/>
    </xf>
    <xf numFmtId="0" fontId="20" fillId="14" borderId="25" xfId="0" applyFont="1" applyFill="1" applyBorder="1" applyAlignment="1">
      <alignment horizontal="center"/>
    </xf>
    <xf numFmtId="0" fontId="20" fillId="14" borderId="10" xfId="0" applyFont="1" applyFill="1" applyBorder="1" applyAlignment="1">
      <alignment horizontal="center"/>
    </xf>
    <xf numFmtId="0" fontId="20" fillId="14" borderId="35" xfId="0" applyFont="1" applyFill="1" applyBorder="1" applyAlignment="1">
      <alignment horizontal="center" vertical="top"/>
    </xf>
    <xf numFmtId="0" fontId="20" fillId="14" borderId="36" xfId="0" applyFont="1" applyFill="1" applyBorder="1" applyAlignment="1">
      <alignment horizontal="center" vertical="top"/>
    </xf>
    <xf numFmtId="0" fontId="20" fillId="14" borderId="35" xfId="0" applyFont="1" applyFill="1" applyBorder="1" applyAlignment="1">
      <alignment horizontal="center"/>
    </xf>
    <xf numFmtId="0" fontId="20" fillId="14" borderId="36" xfId="0" applyFont="1" applyFill="1" applyBorder="1" applyAlignment="1">
      <alignment horizontal="center"/>
    </xf>
    <xf numFmtId="0" fontId="27" fillId="0" borderId="0" xfId="0" applyFont="1" applyAlignment="1">
      <alignment horizontal="center"/>
    </xf>
    <xf numFmtId="0" fontId="0" fillId="0" borderId="9" xfId="0" applyBorder="1" applyAlignment="1">
      <alignment horizontal="center" vertical="top"/>
    </xf>
    <xf numFmtId="0" fontId="0" fillId="0" borderId="11" xfId="0" applyBorder="1" applyAlignment="1">
      <alignment horizontal="center" vertical="top"/>
    </xf>
    <xf numFmtId="0" fontId="20" fillId="14" borderId="25" xfId="0" applyFont="1" applyFill="1" applyBorder="1" applyAlignment="1">
      <alignment horizontal="center" vertical="top"/>
    </xf>
    <xf numFmtId="0" fontId="20" fillId="14" borderId="10" xfId="0" applyFont="1" applyFill="1" applyBorder="1" applyAlignment="1">
      <alignment horizontal="center" vertical="top"/>
    </xf>
    <xf numFmtId="0" fontId="0" fillId="12" borderId="38" xfId="0" applyFill="1" applyBorder="1" applyAlignment="1">
      <alignment horizontal="center" vertical="center" wrapText="1"/>
    </xf>
    <xf numFmtId="0" fontId="0" fillId="12" borderId="78" xfId="0" applyFill="1" applyBorder="1" applyAlignment="1">
      <alignment horizontal="center" vertical="center" wrapText="1"/>
    </xf>
    <xf numFmtId="0" fontId="21" fillId="0" borderId="42" xfId="0" applyFont="1" applyBorder="1" applyAlignment="1">
      <alignment horizontal="center"/>
    </xf>
    <xf numFmtId="0" fontId="0" fillId="0" borderId="40" xfId="0" applyBorder="1" applyAlignment="1">
      <alignment horizontal="center" vertical="center" wrapText="1"/>
    </xf>
    <xf numFmtId="0" fontId="0" fillId="0" borderId="22" xfId="0" applyBorder="1" applyAlignment="1">
      <alignment horizontal="center" vertical="center" wrapText="1"/>
    </xf>
    <xf numFmtId="0" fontId="0" fillId="0" borderId="64" xfId="0" applyBorder="1" applyAlignment="1">
      <alignment horizontal="center" vertical="center" wrapText="1"/>
    </xf>
    <xf numFmtId="0" fontId="0" fillId="12" borderId="59" xfId="0" applyFill="1" applyBorder="1" applyAlignment="1">
      <alignment horizontal="center" vertical="center" wrapText="1"/>
    </xf>
    <xf numFmtId="0" fontId="0" fillId="12" borderId="64" xfId="0" applyFill="1" applyBorder="1" applyAlignment="1">
      <alignment horizontal="center" vertical="center" wrapText="1"/>
    </xf>
    <xf numFmtId="0" fontId="0" fillId="12" borderId="81" xfId="0" applyFill="1" applyBorder="1" applyAlignment="1">
      <alignment horizontal="center" vertical="center" wrapText="1"/>
    </xf>
    <xf numFmtId="0" fontId="0" fillId="12" borderId="82" xfId="0" applyFill="1" applyBorder="1" applyAlignment="1">
      <alignment horizontal="center" vertical="center" wrapText="1"/>
    </xf>
    <xf numFmtId="0" fontId="19" fillId="14" borderId="70" xfId="0" applyFont="1" applyFill="1" applyBorder="1" applyAlignment="1">
      <alignment horizontal="center" vertical="center" wrapText="1"/>
    </xf>
    <xf numFmtId="0" fontId="19" fillId="14" borderId="27" xfId="0" applyFont="1" applyFill="1" applyBorder="1" applyAlignment="1">
      <alignment horizontal="center" vertical="center" wrapText="1"/>
    </xf>
    <xf numFmtId="0" fontId="19" fillId="14" borderId="73" xfId="0" applyFont="1" applyFill="1" applyBorder="1" applyAlignment="1">
      <alignment horizontal="center" vertical="center" wrapText="1"/>
    </xf>
    <xf numFmtId="0" fontId="0" fillId="0" borderId="39" xfId="0" applyBorder="1" applyAlignment="1">
      <alignment horizontal="center"/>
    </xf>
    <xf numFmtId="0" fontId="0" fillId="0" borderId="43" xfId="0" applyBorder="1" applyAlignment="1">
      <alignment horizontal="center"/>
    </xf>
    <xf numFmtId="0" fontId="1" fillId="0" borderId="38" xfId="0" applyFont="1" applyBorder="1" applyAlignment="1">
      <alignment horizontal="center" vertical="center"/>
    </xf>
    <xf numFmtId="0" fontId="1" fillId="0" borderId="78" xfId="0" applyFont="1" applyBorder="1" applyAlignment="1">
      <alignment horizontal="center" vertical="center"/>
    </xf>
    <xf numFmtId="0" fontId="1" fillId="0" borderId="70" xfId="0" applyFont="1" applyBorder="1" applyAlignment="1">
      <alignment horizontal="center" vertical="center"/>
    </xf>
    <xf numFmtId="0" fontId="1" fillId="0" borderId="73" xfId="0" applyFont="1" applyBorder="1" applyAlignment="1">
      <alignment horizontal="center" vertical="center"/>
    </xf>
    <xf numFmtId="0" fontId="3" fillId="4" borderId="8" xfId="0" applyFont="1" applyFill="1" applyBorder="1" applyAlignment="1">
      <alignment horizontal="center" vertical="top" wrapText="1"/>
    </xf>
    <xf numFmtId="0" fontId="3" fillId="4" borderId="41" xfId="0" applyFont="1" applyFill="1" applyBorder="1" applyAlignment="1">
      <alignment horizontal="center" vertical="top" wrapText="1"/>
    </xf>
    <xf numFmtId="0" fontId="3" fillId="4" borderId="22" xfId="0" applyFont="1" applyFill="1" applyBorder="1" applyAlignment="1">
      <alignment horizontal="center" vertical="top" wrapText="1"/>
    </xf>
    <xf numFmtId="0" fontId="3" fillId="4" borderId="40" xfId="0" applyFont="1" applyFill="1" applyBorder="1" applyAlignment="1">
      <alignment horizontal="left" vertical="top" wrapText="1"/>
    </xf>
    <xf numFmtId="0" fontId="3" fillId="4" borderId="41" xfId="0" applyFont="1" applyFill="1" applyBorder="1" applyAlignment="1">
      <alignment horizontal="left" vertical="top" wrapText="1"/>
    </xf>
    <xf numFmtId="0" fontId="3" fillId="4" borderId="22" xfId="0" applyFont="1" applyFill="1" applyBorder="1" applyAlignment="1">
      <alignment horizontal="left" vertical="top" wrapText="1"/>
    </xf>
    <xf numFmtId="0" fontId="3" fillId="2" borderId="8" xfId="0" applyFont="1" applyFill="1" applyBorder="1" applyAlignment="1">
      <alignment horizontal="left" vertical="top" wrapText="1"/>
    </xf>
    <xf numFmtId="0" fontId="3" fillId="2" borderId="41" xfId="0" applyFont="1" applyFill="1" applyBorder="1" applyAlignment="1">
      <alignment horizontal="left" vertical="top" wrapText="1"/>
    </xf>
    <xf numFmtId="0" fontId="3" fillId="2" borderId="7" xfId="0" applyFont="1" applyFill="1" applyBorder="1" applyAlignment="1">
      <alignment horizontal="left" vertical="top" wrapText="1"/>
    </xf>
    <xf numFmtId="0" fontId="3" fillId="2" borderId="40" xfId="0" applyFont="1" applyFill="1" applyBorder="1" applyAlignment="1">
      <alignment horizontal="left" vertical="top" wrapText="1"/>
    </xf>
    <xf numFmtId="0" fontId="3" fillId="2" borderId="22" xfId="0" applyFont="1" applyFill="1" applyBorder="1" applyAlignment="1">
      <alignment horizontal="left" vertical="top" wrapText="1"/>
    </xf>
    <xf numFmtId="0" fontId="1" fillId="0" borderId="37" xfId="0" applyFont="1" applyBorder="1" applyAlignment="1">
      <alignment horizontal="center" vertical="top" wrapText="1"/>
    </xf>
    <xf numFmtId="0" fontId="1" fillId="0" borderId="31" xfId="0" applyFont="1" applyBorder="1" applyAlignment="1">
      <alignment horizontal="center" vertical="top" wrapText="1"/>
    </xf>
    <xf numFmtId="0" fontId="1" fillId="0" borderId="51" xfId="0" applyFont="1" applyBorder="1" applyAlignment="1">
      <alignment horizontal="center" vertical="center"/>
    </xf>
    <xf numFmtId="0" fontId="3" fillId="3" borderId="8" xfId="0" applyFont="1" applyFill="1" applyBorder="1" applyAlignment="1">
      <alignment horizontal="left" vertical="top" wrapText="1"/>
    </xf>
    <xf numFmtId="0" fontId="3" fillId="3" borderId="41" xfId="0" applyFont="1" applyFill="1" applyBorder="1" applyAlignment="1">
      <alignment horizontal="left" vertical="top" wrapText="1"/>
    </xf>
    <xf numFmtId="0" fontId="3" fillId="3" borderId="7" xfId="0" applyFont="1" applyFill="1" applyBorder="1" applyAlignment="1">
      <alignment horizontal="left" vertical="top" wrapText="1"/>
    </xf>
    <xf numFmtId="0" fontId="1" fillId="0" borderId="17" xfId="0" applyFont="1" applyBorder="1" applyAlignment="1">
      <alignment horizontal="center" vertical="top" wrapText="1"/>
    </xf>
    <xf numFmtId="0" fontId="1" fillId="0" borderId="12" xfId="0" applyFont="1" applyBorder="1" applyAlignment="1">
      <alignment horizontal="center" vertical="top" wrapText="1"/>
    </xf>
    <xf numFmtId="0" fontId="1" fillId="0" borderId="71" xfId="0" applyFont="1" applyBorder="1" applyAlignment="1">
      <alignment horizontal="center" vertical="center"/>
    </xf>
    <xf numFmtId="0" fontId="1" fillId="0" borderId="24" xfId="0" applyFont="1" applyBorder="1" applyAlignment="1">
      <alignment horizontal="center" vertical="center"/>
    </xf>
    <xf numFmtId="0" fontId="1" fillId="0" borderId="11" xfId="0" applyFont="1" applyBorder="1" applyAlignment="1">
      <alignment horizontal="center" vertical="center"/>
    </xf>
    <xf numFmtId="0" fontId="0" fillId="0" borderId="37" xfId="0" applyBorder="1" applyAlignment="1">
      <alignment horizontal="center" wrapText="1"/>
    </xf>
    <xf numFmtId="0" fontId="0" fillId="0" borderId="31" xfId="0" applyBorder="1" applyAlignment="1">
      <alignment horizontal="center" wrapText="1"/>
    </xf>
    <xf numFmtId="0" fontId="0" fillId="0" borderId="59" xfId="0" applyBorder="1" applyAlignment="1">
      <alignment horizontal="center" wrapText="1"/>
    </xf>
    <xf numFmtId="0" fontId="0" fillId="0" borderId="38" xfId="0" applyBorder="1" applyAlignment="1">
      <alignment horizontal="center" wrapText="1"/>
    </xf>
    <xf numFmtId="0" fontId="3" fillId="0" borderId="40" xfId="0" applyFont="1" applyBorder="1" applyAlignment="1">
      <alignment horizontal="left" vertical="top" wrapText="1"/>
    </xf>
    <xf numFmtId="0" fontId="3" fillId="0" borderId="41" xfId="0" applyFont="1" applyBorder="1" applyAlignment="1">
      <alignment horizontal="left" vertical="top" wrapText="1"/>
    </xf>
    <xf numFmtId="0" fontId="3" fillId="0" borderId="7" xfId="0" applyFont="1" applyBorder="1" applyAlignment="1">
      <alignment horizontal="left" vertical="top" wrapText="1"/>
    </xf>
    <xf numFmtId="0" fontId="3" fillId="0" borderId="22" xfId="0" applyFont="1" applyBorder="1" applyAlignment="1">
      <alignment horizontal="left" vertical="top" wrapText="1"/>
    </xf>
    <xf numFmtId="0" fontId="84" fillId="14" borderId="0" xfId="0" applyFont="1" applyFill="1" applyAlignment="1">
      <alignment vertical="center"/>
    </xf>
    <xf numFmtId="0" fontId="84" fillId="14" borderId="0" xfId="0" applyFont="1" applyFill="1" applyAlignment="1">
      <alignment horizontal="left" vertical="center" indent="4"/>
    </xf>
    <xf numFmtId="0" fontId="85" fillId="0" borderId="0" xfId="0" applyFont="1" applyAlignment="1">
      <alignment vertical="center"/>
    </xf>
    <xf numFmtId="0" fontId="70" fillId="0" borderId="0" xfId="0" applyFont="1"/>
    <xf numFmtId="0" fontId="0" fillId="4" borderId="0" xfId="0" applyFill="1" applyAlignment="1">
      <alignment horizontal="right" vertical="center"/>
    </xf>
    <xf numFmtId="0" fontId="0" fillId="4" borderId="0" xfId="0" applyFill="1" applyAlignment="1">
      <alignment horizontal="center" vertical="center"/>
    </xf>
    <xf numFmtId="0" fontId="0" fillId="4" borderId="0" xfId="0" applyFill="1" applyAlignment="1">
      <alignment horizontal="left" vertical="center"/>
    </xf>
    <xf numFmtId="0" fontId="4" fillId="7" borderId="25" xfId="1" applyFill="1" applyBorder="1" applyAlignment="1">
      <alignment horizontal="center"/>
    </xf>
  </cellXfs>
  <cellStyles count="2">
    <cellStyle name="Hyperlink" xfId="1" builtinId="8"/>
    <cellStyle name="Normal" xfId="0" builtinId="0"/>
  </cellStyles>
  <dxfs count="637">
    <dxf>
      <font>
        <b/>
        <i val="0"/>
        <strike val="0"/>
        <color rgb="FFC00000"/>
      </font>
      <fill>
        <patternFill>
          <bgColor rgb="FFFFC000"/>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ill>
        <patternFill>
          <bgColor rgb="FFFFC000"/>
        </patternFill>
      </fill>
    </dxf>
    <dxf>
      <fill>
        <patternFill>
          <bgColor rgb="FFFFC000"/>
        </patternFill>
      </fill>
    </dxf>
    <dxf>
      <font>
        <b/>
        <i val="0"/>
        <strike val="0"/>
        <color rgb="FFC00000"/>
      </font>
      <fill>
        <patternFill>
          <bgColor rgb="FFFFC000"/>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ill>
        <patternFill>
          <bgColor rgb="FFFFC000"/>
        </patternFill>
      </fill>
    </dxf>
    <dxf>
      <fill>
        <patternFill>
          <bgColor rgb="FFFFC000"/>
        </patternFill>
      </fill>
    </dxf>
    <dxf>
      <font>
        <b/>
        <i val="0"/>
        <strike val="0"/>
        <color rgb="FFC00000"/>
      </font>
      <fill>
        <patternFill>
          <bgColor rgb="FFFFC000"/>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ont>
        <color auto="1"/>
      </font>
      <fill>
        <patternFill>
          <bgColor rgb="FFFFC000"/>
        </patternFill>
      </fill>
    </dxf>
    <dxf>
      <fill>
        <patternFill>
          <bgColor rgb="FFFFC000"/>
        </patternFill>
      </fill>
    </dxf>
    <dxf>
      <font>
        <color auto="1"/>
      </font>
      <fill>
        <patternFill>
          <bgColor rgb="FFFFC000"/>
        </patternFill>
      </fill>
    </dxf>
    <dxf>
      <fill>
        <patternFill>
          <bgColor rgb="FFFFC000"/>
        </patternFill>
      </fill>
    </dxf>
    <dxf>
      <fill>
        <patternFill>
          <bgColor rgb="FFFFC000"/>
        </patternFill>
      </fill>
    </dxf>
    <dxf>
      <font>
        <color auto="1"/>
      </font>
      <fill>
        <patternFill>
          <bgColor rgb="FFFFC000"/>
        </patternFill>
      </fill>
    </dxf>
    <dxf>
      <fill>
        <patternFill>
          <bgColor rgb="FFFFC000"/>
        </patternFill>
      </fill>
    </dxf>
    <dxf>
      <font>
        <color auto="1"/>
      </font>
      <fill>
        <patternFill>
          <bgColor rgb="FFFFC000"/>
        </patternFill>
      </fill>
    </dxf>
    <dxf>
      <fill>
        <patternFill>
          <bgColor rgb="FFFFC000"/>
        </patternFill>
      </fill>
    </dxf>
    <dxf>
      <fill>
        <patternFill>
          <bgColor rgb="FFFFC000"/>
        </patternFill>
      </fill>
    </dxf>
    <dxf>
      <fill>
        <patternFill>
          <bgColor rgb="FFFFC000"/>
        </patternFill>
      </fill>
    </dxf>
    <dxf>
      <font>
        <color auto="1"/>
      </font>
      <fill>
        <patternFill>
          <bgColor rgb="FFFFC000"/>
        </patternFill>
      </fill>
    </dxf>
    <dxf>
      <fill>
        <patternFill>
          <bgColor rgb="FFFFC000"/>
        </patternFill>
      </fill>
    </dxf>
    <dxf>
      <font>
        <color auto="1"/>
      </font>
      <fill>
        <patternFill>
          <bgColor rgb="FFFFC000"/>
        </patternFill>
      </fill>
    </dxf>
    <dxf>
      <fill>
        <patternFill>
          <bgColor rgb="FFFFC000"/>
        </patternFill>
      </fill>
    </dxf>
    <dxf>
      <fill>
        <patternFill>
          <bgColor theme="1"/>
        </patternFill>
      </fill>
    </dxf>
    <dxf>
      <fill>
        <patternFill>
          <bgColor rgb="FFFFC000"/>
        </patternFill>
      </fill>
    </dxf>
    <dxf>
      <fill>
        <patternFill>
          <bgColor rgb="FFFFC000"/>
        </patternFill>
      </fill>
    </dxf>
    <dxf>
      <fill>
        <patternFill>
          <bgColor theme="1" tint="0.34998626667073579"/>
        </patternFill>
      </fill>
    </dxf>
    <dxf>
      <fill>
        <patternFill>
          <bgColor rgb="FFFFC000"/>
        </patternFill>
      </fill>
    </dxf>
    <dxf>
      <fill>
        <patternFill patternType="solid">
          <bgColor theme="4" tint="0.39994506668294322"/>
        </patternFill>
      </fill>
    </dxf>
    <dxf>
      <fill>
        <patternFill>
          <bgColor theme="7" tint="0.79998168889431442"/>
        </patternFill>
      </fill>
    </dxf>
    <dxf>
      <font>
        <b/>
        <i val="0"/>
      </font>
      <fill>
        <patternFill>
          <bgColor theme="9" tint="0.59996337778862885"/>
        </patternFill>
      </fill>
    </dxf>
    <dxf>
      <font>
        <b/>
        <i val="0"/>
      </font>
      <fill>
        <patternFill>
          <bgColor rgb="FFFF7C80"/>
        </patternFill>
      </fill>
    </dxf>
    <dxf>
      <font>
        <b/>
        <i val="0"/>
      </font>
      <fill>
        <patternFill>
          <bgColor rgb="FFFFFF00"/>
        </patternFill>
      </fill>
    </dxf>
    <dxf>
      <font>
        <b/>
        <i val="0"/>
      </font>
      <fill>
        <patternFill>
          <bgColor rgb="FF92D050"/>
        </patternFill>
      </fill>
    </dxf>
    <dxf>
      <font>
        <b/>
        <i val="0"/>
      </font>
      <fill>
        <patternFill>
          <bgColor rgb="FFFF0000"/>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ill>
        <patternFill>
          <bgColor rgb="FFFFC000"/>
        </patternFill>
      </fill>
    </dxf>
    <dxf>
      <font>
        <color auto="1"/>
      </font>
      <fill>
        <patternFill>
          <bgColor rgb="FFFFC000"/>
        </patternFill>
      </fill>
    </dxf>
    <dxf>
      <font>
        <color auto="1"/>
      </font>
      <fill>
        <patternFill>
          <bgColor rgb="FFFFC000"/>
        </patternFill>
      </fill>
    </dxf>
    <dxf>
      <fill>
        <patternFill>
          <bgColor rgb="FFFFC00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ont>
        <color auto="1"/>
      </font>
      <fill>
        <patternFill>
          <bgColor rgb="FFFFC000"/>
        </patternFill>
      </fill>
    </dxf>
    <dxf>
      <fill>
        <patternFill>
          <bgColor rgb="FFFFC000"/>
        </patternFill>
      </fill>
    </dxf>
    <dxf>
      <fill>
        <patternFill>
          <bgColor rgb="FFFFC000"/>
        </patternFill>
      </fill>
    </dxf>
    <dxf>
      <font>
        <color auto="1"/>
      </font>
      <fill>
        <patternFill>
          <bgColor rgb="FFFFC000"/>
        </patternFill>
      </fill>
    </dxf>
    <dxf>
      <fill>
        <patternFill>
          <bgColor rgb="FFFFC000"/>
        </patternFill>
      </fill>
    </dxf>
    <dxf>
      <font>
        <b/>
        <i val="0"/>
        <strike val="0"/>
        <color rgb="FFC00000"/>
      </font>
      <fill>
        <patternFill>
          <bgColor rgb="FFFFC000"/>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ill>
        <patternFill>
          <bgColor rgb="FFFFC000"/>
        </patternFill>
      </fill>
    </dxf>
    <dxf>
      <fill>
        <patternFill>
          <bgColor rgb="FFFFC000"/>
        </patternFill>
      </fill>
    </dxf>
    <dxf>
      <fill>
        <patternFill>
          <bgColor theme="1" tint="0.34998626667073579"/>
        </patternFill>
      </fill>
    </dxf>
    <dxf>
      <fill>
        <patternFill>
          <bgColor rgb="FFFFC000"/>
        </patternFill>
      </fill>
    </dxf>
    <dxf>
      <font>
        <b/>
        <i val="0"/>
        <strike val="0"/>
        <color rgb="FFC00000"/>
      </font>
      <fill>
        <patternFill>
          <bgColor rgb="FFFFC000"/>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ill>
        <patternFill>
          <bgColor rgb="FFFFC000"/>
        </patternFill>
      </fill>
    </dxf>
    <dxf>
      <fill>
        <patternFill>
          <bgColor rgb="FFFFC000"/>
        </patternFill>
      </fill>
    </dxf>
    <dxf>
      <fill>
        <patternFill>
          <bgColor theme="1" tint="0.34998626667073579"/>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ill>
        <patternFill>
          <bgColor theme="1" tint="0.34998626667073579"/>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ont>
        <b/>
        <i val="0"/>
        <strike val="0"/>
        <color rgb="FFC00000"/>
      </font>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ont>
        <b/>
        <i val="0"/>
        <strike val="0"/>
        <color rgb="FFC00000"/>
      </font>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ill>
        <patternFill>
          <bgColor rgb="FFFFC000"/>
        </patternFill>
      </fill>
    </dxf>
    <dxf>
      <font>
        <b/>
        <i val="0"/>
        <strike val="0"/>
        <color rgb="FFC00000"/>
      </font>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ill>
        <patternFill>
          <bgColor rgb="FFFFC000"/>
        </patternFill>
      </fill>
    </dxf>
    <dxf>
      <font>
        <b/>
        <i val="0"/>
        <strike val="0"/>
        <color rgb="FFC00000"/>
      </font>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ill>
        <patternFill>
          <bgColor rgb="FFFFC000"/>
        </patternFill>
      </fill>
    </dxf>
    <dxf>
      <font>
        <b/>
        <i val="0"/>
        <strike val="0"/>
        <color rgb="FFC00000"/>
      </font>
      <fill>
        <patternFill>
          <bgColor rgb="FFFFC000"/>
        </patternFill>
      </fill>
    </dxf>
    <dxf>
      <fill>
        <patternFill>
          <bgColor rgb="FFFFC00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ont>
        <color auto="1"/>
      </font>
      <fill>
        <patternFill>
          <bgColor rgb="FFFFC000"/>
        </patternFill>
      </fill>
    </dxf>
    <dxf>
      <fill>
        <patternFill>
          <bgColor rgb="FFFFC000"/>
        </patternFill>
      </fill>
    </dxf>
    <dxf>
      <font>
        <color auto="1"/>
      </font>
      <fill>
        <patternFill>
          <bgColor rgb="FFFFC000"/>
        </patternFill>
      </fill>
    </dxf>
    <dxf>
      <fill>
        <patternFill>
          <bgColor rgb="FFFFC000"/>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rgb="FFFFC000"/>
        </patternFill>
      </fill>
    </dxf>
    <dxf>
      <fill>
        <patternFill>
          <bgColor theme="1" tint="0.34998626667073579"/>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ont>
        <color auto="1"/>
      </font>
      <fill>
        <patternFill>
          <bgColor rgb="FFFFC000"/>
        </patternFill>
      </fill>
    </dxf>
    <dxf>
      <font>
        <color auto="1"/>
      </font>
      <fill>
        <patternFill>
          <bgColor rgb="FFFFC000"/>
        </patternFill>
      </fill>
    </dxf>
    <dxf>
      <fill>
        <patternFill>
          <bgColor rgb="FFFFC000"/>
        </patternFill>
      </fill>
    </dxf>
    <dxf>
      <fill>
        <patternFill>
          <bgColor rgb="FFFFC000"/>
        </patternFill>
      </fill>
    </dxf>
    <dxf>
      <fill>
        <patternFill>
          <bgColor rgb="FFFFC000"/>
        </patternFill>
      </fill>
    </dxf>
    <dxf>
      <font>
        <color auto="1"/>
      </font>
      <fill>
        <patternFill>
          <bgColor rgb="FFFFC000"/>
        </patternFill>
      </fill>
    </dxf>
    <dxf>
      <fill>
        <patternFill>
          <bgColor rgb="FFFFC000"/>
        </patternFill>
      </fill>
    </dxf>
    <dxf>
      <font>
        <color auto="1"/>
      </font>
      <fill>
        <patternFill>
          <bgColor rgb="FFFFC000"/>
        </patternFill>
      </fill>
    </dxf>
    <dxf>
      <fill>
        <patternFill>
          <bgColor rgb="FFFFC000"/>
        </patternFill>
      </fill>
    </dxf>
    <dxf>
      <fill>
        <patternFill>
          <bgColor rgb="FFFFC000"/>
        </patternFill>
      </fill>
    </dxf>
    <dxf>
      <font>
        <color auto="1"/>
      </font>
      <fill>
        <patternFill>
          <bgColor rgb="FFFFC000"/>
        </patternFill>
      </fill>
    </dxf>
    <dxf>
      <fill>
        <patternFill>
          <bgColor rgb="FFFFC000"/>
        </patternFill>
      </fill>
    </dxf>
    <dxf>
      <fill>
        <patternFill>
          <bgColor theme="1"/>
        </patternFill>
      </fill>
    </dxf>
    <dxf>
      <font>
        <color theme="1"/>
      </font>
      <fill>
        <patternFill>
          <bgColor theme="1"/>
        </patternFill>
      </fill>
    </dxf>
    <dxf>
      <fill>
        <patternFill>
          <bgColor rgb="FFFFC000"/>
        </patternFill>
      </fill>
    </dxf>
    <dxf>
      <fill>
        <patternFill>
          <bgColor rgb="FFFFC00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ont>
        <color auto="1"/>
      </font>
      <fill>
        <patternFill patternType="solid">
          <fgColor auto="1"/>
          <bgColor theme="9"/>
        </patternFill>
      </fill>
    </dxf>
    <dxf>
      <font>
        <color auto="1"/>
      </font>
      <fill>
        <patternFill>
          <bgColor theme="9" tint="0.39994506668294322"/>
        </patternFill>
      </fill>
    </dxf>
    <dxf>
      <fill>
        <patternFill>
          <bgColor theme="5" tint="0.39994506668294322"/>
        </patternFill>
      </fill>
    </dxf>
    <dxf>
      <fill>
        <patternFill>
          <bgColor theme="7" tint="0.39994506668294322"/>
        </patternFill>
      </fill>
    </dxf>
    <dxf>
      <fill>
        <patternFill>
          <bgColor rgb="FFC00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tint="0.499984740745262"/>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tint="0.499984740745262"/>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patternType="solid">
          <bgColor theme="4" tint="0.39994506668294322"/>
        </patternFill>
      </fill>
    </dxf>
    <dxf>
      <font>
        <color auto="1"/>
      </font>
      <fill>
        <patternFill patternType="solid">
          <fgColor auto="1"/>
          <bgColor theme="9"/>
        </patternFill>
      </fill>
    </dxf>
    <dxf>
      <font>
        <color auto="1"/>
      </font>
      <fill>
        <patternFill>
          <bgColor theme="9" tint="0.39994506668294322"/>
        </patternFill>
      </fill>
    </dxf>
    <dxf>
      <fill>
        <patternFill>
          <bgColor theme="5" tint="0.39994506668294322"/>
        </patternFill>
      </fill>
    </dxf>
    <dxf>
      <fill>
        <patternFill>
          <bgColor theme="7" tint="0.39994506668294322"/>
        </patternFill>
      </fill>
    </dxf>
    <dxf>
      <fill>
        <patternFill>
          <bgColor rgb="FFC00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tint="0.499984740745262"/>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tint="0.499984740745262"/>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patternType="solid">
          <bgColor theme="4" tint="0.39994506668294322"/>
        </patternFill>
      </fill>
    </dxf>
    <dxf>
      <font>
        <color auto="1"/>
      </font>
      <fill>
        <patternFill patternType="solid">
          <fgColor auto="1"/>
          <bgColor theme="9"/>
        </patternFill>
      </fill>
    </dxf>
    <dxf>
      <font>
        <color auto="1"/>
      </font>
      <fill>
        <patternFill>
          <bgColor theme="9" tint="0.39994506668294322"/>
        </patternFill>
      </fill>
    </dxf>
    <dxf>
      <fill>
        <patternFill>
          <bgColor theme="5" tint="0.39994506668294322"/>
        </patternFill>
      </fill>
    </dxf>
    <dxf>
      <fill>
        <patternFill>
          <bgColor theme="7" tint="0.39994506668294322"/>
        </patternFill>
      </fill>
    </dxf>
    <dxf>
      <fill>
        <patternFill>
          <bgColor rgb="FFC00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tint="0.499984740745262"/>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tint="0.499984740745262"/>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patternType="solid">
          <bgColor theme="4" tint="0.39994506668294322"/>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theme="1"/>
        </patternFill>
      </fill>
    </dxf>
    <dxf>
      <fill>
        <patternFill>
          <bgColor rgb="FFFFC000"/>
        </patternFill>
      </fill>
    </dxf>
    <dxf>
      <fill>
        <patternFill>
          <bgColor theme="1"/>
        </patternFill>
      </fill>
    </dxf>
    <dxf>
      <fill>
        <patternFill>
          <bgColor rgb="FFFFC000"/>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theme="1"/>
        </patternFill>
      </fill>
    </dxf>
    <dxf>
      <fill>
        <patternFill>
          <bgColor rgb="FFFFC000"/>
        </patternFill>
      </fill>
    </dxf>
    <dxf>
      <fill>
        <patternFill>
          <bgColor theme="1"/>
        </patternFill>
      </fill>
    </dxf>
    <dxf>
      <fill>
        <patternFill>
          <bgColor theme="1"/>
        </patternFill>
      </fill>
    </dxf>
    <dxf>
      <fill>
        <patternFill>
          <bgColor theme="1"/>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theme="1"/>
        </patternFill>
      </fill>
    </dxf>
    <dxf>
      <fill>
        <patternFill>
          <bgColor rgb="FFFFC000"/>
        </patternFill>
      </fill>
    </dxf>
    <dxf>
      <fill>
        <patternFill>
          <bgColor theme="1"/>
        </patternFill>
      </fill>
    </dxf>
    <dxf>
      <fill>
        <patternFill>
          <bgColor rgb="FFFFC000"/>
        </patternFill>
      </fill>
    </dxf>
    <dxf>
      <fill>
        <patternFill>
          <bgColor theme="7" tint="0.79998168889431442"/>
        </patternFill>
      </fill>
    </dxf>
    <dxf>
      <fill>
        <patternFill>
          <bgColor rgb="FFFFC000"/>
        </patternFill>
      </fill>
    </dxf>
    <dxf>
      <font>
        <color auto="1"/>
      </font>
      <fill>
        <patternFill>
          <bgColor rgb="FFFFC000"/>
        </patternFill>
      </fill>
    </dxf>
    <dxf>
      <fill>
        <patternFill>
          <bgColor theme="0" tint="-0.14996795556505021"/>
        </patternFill>
      </fill>
    </dxf>
    <dxf>
      <fill>
        <patternFill>
          <bgColor theme="0" tint="-0.14996795556505021"/>
        </patternFill>
      </fill>
    </dxf>
    <dxf>
      <fill>
        <patternFill>
          <bgColor rgb="FFFFC000"/>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theme="1"/>
        </patternFill>
      </fill>
    </dxf>
    <dxf>
      <fill>
        <patternFill>
          <bgColor rgb="FFFFC000"/>
        </patternFill>
      </fill>
    </dxf>
    <dxf>
      <fill>
        <patternFill>
          <bgColor theme="1"/>
        </patternFill>
      </fill>
    </dxf>
    <dxf>
      <fill>
        <patternFill>
          <bgColor rgb="FFFFC000"/>
        </patternFill>
      </fill>
    </dxf>
    <dxf>
      <fill>
        <patternFill>
          <bgColor rgb="FFFFC000"/>
        </patternFill>
      </fill>
    </dxf>
    <dxf>
      <fill>
        <patternFill>
          <bgColor rgb="FFFFC000"/>
        </patternFill>
      </fill>
    </dxf>
    <dxf>
      <fill>
        <patternFill>
          <bgColor theme="1"/>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ont>
        <color auto="1"/>
      </font>
      <fill>
        <patternFill patternType="solid">
          <fgColor auto="1"/>
          <bgColor theme="9"/>
        </patternFill>
      </fill>
    </dxf>
    <dxf>
      <font>
        <color auto="1"/>
      </font>
      <fill>
        <patternFill>
          <bgColor theme="9" tint="0.39994506668294322"/>
        </patternFill>
      </fill>
    </dxf>
    <dxf>
      <fill>
        <patternFill>
          <bgColor theme="5" tint="0.39994506668294322"/>
        </patternFill>
      </fill>
    </dxf>
    <dxf>
      <fill>
        <patternFill>
          <bgColor theme="7" tint="0.39994506668294322"/>
        </patternFill>
      </fill>
    </dxf>
    <dxf>
      <fill>
        <patternFill>
          <bgColor rgb="FFC00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tint="0.499984740745262"/>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tint="0.499984740745262"/>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tint="0.499984740745262"/>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theme="1"/>
        </patternFill>
      </fill>
    </dxf>
    <dxf>
      <fill>
        <patternFill>
          <bgColor theme="1"/>
        </patternFill>
      </fill>
    </dxf>
    <dxf>
      <fill>
        <patternFill>
          <bgColor theme="1"/>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theme="1" tint="0.499984740745262"/>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ill>
        <patternFill>
          <bgColor rgb="FFFFC000"/>
        </patternFill>
      </fill>
    </dxf>
    <dxf>
      <font>
        <color auto="1"/>
      </font>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bgColor rgb="FFFFC000"/>
        </patternFill>
      </fill>
    </dxf>
    <dxf>
      <fill>
        <patternFill>
          <bgColor rgb="FFFFC000"/>
        </patternFill>
      </fill>
    </dxf>
    <dxf>
      <fill>
        <patternFill>
          <bgColor theme="1" tint="0.499984740745262"/>
        </patternFill>
      </fill>
    </dxf>
    <dxf>
      <fill>
        <patternFill>
          <bgColor rgb="FFFFC000"/>
        </patternFill>
      </fill>
    </dxf>
    <dxf>
      <fill>
        <patternFill>
          <bgColor theme="1"/>
        </patternFill>
      </fill>
    </dxf>
    <dxf>
      <fill>
        <patternFill>
          <bgColor rgb="FFFFC00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ont>
        <b/>
        <i val="0"/>
      </font>
      <fill>
        <patternFill>
          <bgColor rgb="FFFF0000"/>
        </patternFill>
      </fill>
    </dxf>
    <dxf>
      <font>
        <b/>
        <i val="0"/>
      </font>
      <fill>
        <patternFill>
          <bgColor rgb="FFFF7C80"/>
        </patternFill>
      </fill>
    </dxf>
    <dxf>
      <font>
        <b/>
        <i val="0"/>
      </font>
      <fill>
        <patternFill>
          <bgColor rgb="FFFFFF00"/>
        </patternFill>
      </fill>
    </dxf>
    <dxf>
      <font>
        <b/>
        <i val="0"/>
      </font>
      <fill>
        <patternFill>
          <bgColor theme="9" tint="0.59996337778862885"/>
        </patternFill>
      </fill>
    </dxf>
    <dxf>
      <font>
        <b/>
        <i val="0"/>
      </font>
      <fill>
        <patternFill>
          <bgColor rgb="FF92D050"/>
        </patternFill>
      </fill>
    </dxf>
    <dxf>
      <fill>
        <patternFill patternType="solid">
          <bgColor theme="4" tint="0.39994506668294322"/>
        </patternFill>
      </fill>
    </dxf>
    <dxf>
      <fill>
        <patternFill>
          <bgColor rgb="FFFFC000"/>
        </patternFill>
      </fill>
    </dxf>
    <dxf>
      <fill>
        <patternFill>
          <bgColor rgb="FFFFC000"/>
        </patternFill>
      </fill>
    </dxf>
    <dxf>
      <fill>
        <patternFill>
          <bgColor rgb="FFFFC000"/>
        </patternFill>
      </fill>
    </dxf>
  </dxfs>
  <tableStyles count="0" defaultTableStyle="TableStyleMedium2" defaultPivotStyle="PivotStyleLight16"/>
  <colors>
    <mruColors>
      <color rgb="FF00FF00"/>
      <color rgb="FFFF5050"/>
      <color rgb="FFFF7C80"/>
      <color rgb="FFFF33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alcChain" Target="calcChain.xml"/><Relationship Id="rId5" Type="http://schemas.openxmlformats.org/officeDocument/2006/relationships/worksheet" Target="worksheets/sheet5.xml"/><Relationship Id="rId61" Type="http://schemas.openxmlformats.org/officeDocument/2006/relationships/worksheet" Target="worksheets/sheet6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8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5.png"/></Relationships>
</file>

<file path=xl/drawings/_rels/drawing12.xml.rels><?xml version="1.0" encoding="UTF-8" standalone="yes"?>
<Relationships xmlns="http://schemas.openxmlformats.org/package/2006/relationships"><Relationship Id="rId8" Type="http://schemas.openxmlformats.org/officeDocument/2006/relationships/image" Target="../media/image89.png"/><Relationship Id="rId13" Type="http://schemas.openxmlformats.org/officeDocument/2006/relationships/image" Target="../media/image94.png"/><Relationship Id="rId3" Type="http://schemas.openxmlformats.org/officeDocument/2006/relationships/image" Target="../media/image84.png"/><Relationship Id="rId7" Type="http://schemas.openxmlformats.org/officeDocument/2006/relationships/image" Target="../media/image88.png"/><Relationship Id="rId12" Type="http://schemas.openxmlformats.org/officeDocument/2006/relationships/image" Target="../media/image93.png"/><Relationship Id="rId2" Type="http://schemas.openxmlformats.org/officeDocument/2006/relationships/image" Target="../media/image83.png"/><Relationship Id="rId16" Type="http://schemas.openxmlformats.org/officeDocument/2006/relationships/image" Target="../media/image97.png"/><Relationship Id="rId1" Type="http://schemas.openxmlformats.org/officeDocument/2006/relationships/image" Target="../media/image82.png"/><Relationship Id="rId6" Type="http://schemas.openxmlformats.org/officeDocument/2006/relationships/image" Target="../media/image87.png"/><Relationship Id="rId11" Type="http://schemas.openxmlformats.org/officeDocument/2006/relationships/image" Target="../media/image92.png"/><Relationship Id="rId5" Type="http://schemas.openxmlformats.org/officeDocument/2006/relationships/image" Target="../media/image86.png"/><Relationship Id="rId15" Type="http://schemas.openxmlformats.org/officeDocument/2006/relationships/image" Target="../media/image96.png"/><Relationship Id="rId10" Type="http://schemas.openxmlformats.org/officeDocument/2006/relationships/image" Target="../media/image91.png"/><Relationship Id="rId4" Type="http://schemas.openxmlformats.org/officeDocument/2006/relationships/image" Target="../media/image85.png"/><Relationship Id="rId9" Type="http://schemas.openxmlformats.org/officeDocument/2006/relationships/image" Target="../media/image90.png"/><Relationship Id="rId14" Type="http://schemas.openxmlformats.org/officeDocument/2006/relationships/image" Target="../media/image9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png"/></Relationships>
</file>

<file path=xl/drawings/_rels/drawing14.xml.rels><?xml version="1.0" encoding="UTF-8" standalone="yes"?>
<Relationships xmlns="http://schemas.openxmlformats.org/package/2006/relationships"><Relationship Id="rId1" Type="http://schemas.openxmlformats.org/officeDocument/2006/relationships/image" Target="../media/image98.png"/></Relationships>
</file>

<file path=xl/drawings/_rels/drawing15.xml.rels><?xml version="1.0" encoding="UTF-8" standalone="yes"?>
<Relationships xmlns="http://schemas.openxmlformats.org/package/2006/relationships"><Relationship Id="rId1" Type="http://schemas.openxmlformats.org/officeDocument/2006/relationships/image" Target="../media/image99.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00.png"/></Relationships>
</file>

<file path=xl/drawings/_rels/drawing17.xml.rels><?xml version="1.0" encoding="UTF-8" standalone="yes"?>
<Relationships xmlns="http://schemas.openxmlformats.org/package/2006/relationships"><Relationship Id="rId3" Type="http://schemas.openxmlformats.org/officeDocument/2006/relationships/image" Target="../media/image103.png"/><Relationship Id="rId2" Type="http://schemas.openxmlformats.org/officeDocument/2006/relationships/image" Target="../media/image102.png"/><Relationship Id="rId1" Type="http://schemas.openxmlformats.org/officeDocument/2006/relationships/image" Target="../media/image101.png"/><Relationship Id="rId5" Type="http://schemas.openxmlformats.org/officeDocument/2006/relationships/image" Target="../media/image105.png"/><Relationship Id="rId4" Type="http://schemas.openxmlformats.org/officeDocument/2006/relationships/image" Target="../media/image104.png"/></Relationships>
</file>

<file path=xl/drawings/_rels/drawing18.xml.rels><?xml version="1.0" encoding="UTF-8" standalone="yes"?>
<Relationships xmlns="http://schemas.openxmlformats.org/package/2006/relationships"><Relationship Id="rId8" Type="http://schemas.openxmlformats.org/officeDocument/2006/relationships/image" Target="../media/image89.png"/><Relationship Id="rId13" Type="http://schemas.openxmlformats.org/officeDocument/2006/relationships/image" Target="../media/image106.png"/><Relationship Id="rId3" Type="http://schemas.openxmlformats.org/officeDocument/2006/relationships/image" Target="../media/image84.png"/><Relationship Id="rId7" Type="http://schemas.openxmlformats.org/officeDocument/2006/relationships/image" Target="../media/image88.png"/><Relationship Id="rId12" Type="http://schemas.openxmlformats.org/officeDocument/2006/relationships/image" Target="../media/image93.png"/><Relationship Id="rId2" Type="http://schemas.openxmlformats.org/officeDocument/2006/relationships/image" Target="../media/image83.png"/><Relationship Id="rId16" Type="http://schemas.openxmlformats.org/officeDocument/2006/relationships/image" Target="../media/image96.png"/><Relationship Id="rId1" Type="http://schemas.openxmlformats.org/officeDocument/2006/relationships/image" Target="../media/image82.png"/><Relationship Id="rId6" Type="http://schemas.openxmlformats.org/officeDocument/2006/relationships/image" Target="../media/image87.png"/><Relationship Id="rId11" Type="http://schemas.openxmlformats.org/officeDocument/2006/relationships/image" Target="../media/image92.png"/><Relationship Id="rId5" Type="http://schemas.openxmlformats.org/officeDocument/2006/relationships/image" Target="../media/image86.png"/><Relationship Id="rId15" Type="http://schemas.openxmlformats.org/officeDocument/2006/relationships/image" Target="../media/image95.png"/><Relationship Id="rId10" Type="http://schemas.openxmlformats.org/officeDocument/2006/relationships/image" Target="../media/image91.png"/><Relationship Id="rId4" Type="http://schemas.openxmlformats.org/officeDocument/2006/relationships/image" Target="../media/image85.png"/><Relationship Id="rId9" Type="http://schemas.openxmlformats.org/officeDocument/2006/relationships/image" Target="../media/image90.png"/><Relationship Id="rId14" Type="http://schemas.openxmlformats.org/officeDocument/2006/relationships/image" Target="../media/image94.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07.png"/></Relationships>
</file>

<file path=xl/drawings/_rels/drawing2.xml.rels><?xml version="1.0" encoding="UTF-8" standalone="yes"?>
<Relationships xmlns="http://schemas.openxmlformats.org/package/2006/relationships"><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21" Type="http://schemas.openxmlformats.org/officeDocument/2006/relationships/image" Target="../media/image28.png"/><Relationship Id="rId34" Type="http://schemas.openxmlformats.org/officeDocument/2006/relationships/image" Target="../media/image4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33" Type="http://schemas.openxmlformats.org/officeDocument/2006/relationships/image" Target="../media/image39.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29" Type="http://schemas.openxmlformats.org/officeDocument/2006/relationships/image" Target="../media/image35.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32" Type="http://schemas.openxmlformats.org/officeDocument/2006/relationships/image" Target="../media/image38.png"/><Relationship Id="rId37" Type="http://schemas.openxmlformats.org/officeDocument/2006/relationships/image" Target="../media/image43.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28" Type="http://schemas.openxmlformats.org/officeDocument/2006/relationships/image" Target="../media/image1.png"/><Relationship Id="rId36" Type="http://schemas.openxmlformats.org/officeDocument/2006/relationships/image" Target="../media/image42.png"/><Relationship Id="rId10" Type="http://schemas.openxmlformats.org/officeDocument/2006/relationships/image" Target="../media/image17.png"/><Relationship Id="rId19" Type="http://schemas.openxmlformats.org/officeDocument/2006/relationships/image" Target="../media/image26.png"/><Relationship Id="rId31" Type="http://schemas.openxmlformats.org/officeDocument/2006/relationships/image" Target="../media/image37.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 Id="rId30" Type="http://schemas.openxmlformats.org/officeDocument/2006/relationships/image" Target="../media/image36.png"/><Relationship Id="rId35" Type="http://schemas.openxmlformats.org/officeDocument/2006/relationships/image" Target="../media/image41.png"/><Relationship Id="rId8" Type="http://schemas.openxmlformats.org/officeDocument/2006/relationships/image" Target="../media/image15.png"/><Relationship Id="rId3" Type="http://schemas.openxmlformats.org/officeDocument/2006/relationships/image" Target="../media/image10.png"/></Relationships>
</file>

<file path=xl/drawings/_rels/drawing20.xml.rels><?xml version="1.0" encoding="UTF-8" standalone="yes"?>
<Relationships xmlns="http://schemas.openxmlformats.org/package/2006/relationships"><Relationship Id="rId1" Type="http://schemas.openxmlformats.org/officeDocument/2006/relationships/image" Target="../media/image108.png"/></Relationships>
</file>

<file path=xl/drawings/_rels/drawing21.xml.rels><?xml version="1.0" encoding="UTF-8" standalone="yes"?>
<Relationships xmlns="http://schemas.openxmlformats.org/package/2006/relationships"><Relationship Id="rId3" Type="http://schemas.openxmlformats.org/officeDocument/2006/relationships/image" Target="../media/image111.png"/><Relationship Id="rId2" Type="http://schemas.openxmlformats.org/officeDocument/2006/relationships/image" Target="../media/image110.png"/><Relationship Id="rId1" Type="http://schemas.openxmlformats.org/officeDocument/2006/relationships/image" Target="../media/image109.png"/></Relationships>
</file>

<file path=xl/drawings/_rels/drawing22.xml.rels><?xml version="1.0" encoding="UTF-8" standalone="yes"?>
<Relationships xmlns="http://schemas.openxmlformats.org/package/2006/relationships"><Relationship Id="rId1" Type="http://schemas.openxmlformats.org/officeDocument/2006/relationships/image" Target="../media/image112.png"/></Relationships>
</file>

<file path=xl/drawings/_rels/drawing23.xml.rels><?xml version="1.0" encoding="UTF-8" standalone="yes"?>
<Relationships xmlns="http://schemas.openxmlformats.org/package/2006/relationships"><Relationship Id="rId8" Type="http://schemas.openxmlformats.org/officeDocument/2006/relationships/image" Target="../media/image118.png"/><Relationship Id="rId3" Type="http://schemas.openxmlformats.org/officeDocument/2006/relationships/image" Target="../media/image114.png"/><Relationship Id="rId7" Type="http://schemas.openxmlformats.org/officeDocument/2006/relationships/image" Target="../media/image3.png"/><Relationship Id="rId2" Type="http://schemas.openxmlformats.org/officeDocument/2006/relationships/image" Target="../media/image113.png"/><Relationship Id="rId1" Type="http://schemas.openxmlformats.org/officeDocument/2006/relationships/image" Target="../media/image40.png"/><Relationship Id="rId6" Type="http://schemas.openxmlformats.org/officeDocument/2006/relationships/image" Target="../media/image117.png"/><Relationship Id="rId5" Type="http://schemas.openxmlformats.org/officeDocument/2006/relationships/image" Target="../media/image116.png"/><Relationship Id="rId4" Type="http://schemas.openxmlformats.org/officeDocument/2006/relationships/image" Target="../media/image115.png"/></Relationships>
</file>

<file path=xl/drawings/_rels/drawing24.xml.rels><?xml version="1.0" encoding="UTF-8" standalone="yes"?>
<Relationships xmlns="http://schemas.openxmlformats.org/package/2006/relationships"><Relationship Id="rId2" Type="http://schemas.openxmlformats.org/officeDocument/2006/relationships/image" Target="../media/image120.png"/><Relationship Id="rId1" Type="http://schemas.openxmlformats.org/officeDocument/2006/relationships/image" Target="../media/image119.png"/></Relationships>
</file>

<file path=xl/drawings/_rels/drawing25.xml.rels><?xml version="1.0" encoding="UTF-8" standalone="yes"?>
<Relationships xmlns="http://schemas.openxmlformats.org/package/2006/relationships"><Relationship Id="rId2" Type="http://schemas.openxmlformats.org/officeDocument/2006/relationships/image" Target="../media/image120.png"/><Relationship Id="rId1" Type="http://schemas.openxmlformats.org/officeDocument/2006/relationships/image" Target="../media/image121.png"/></Relationships>
</file>

<file path=xl/drawings/_rels/drawing26.xml.rels><?xml version="1.0" encoding="UTF-8" standalone="yes"?>
<Relationships xmlns="http://schemas.openxmlformats.org/package/2006/relationships"><Relationship Id="rId3" Type="http://schemas.openxmlformats.org/officeDocument/2006/relationships/image" Target="../media/image115.png"/><Relationship Id="rId2" Type="http://schemas.openxmlformats.org/officeDocument/2006/relationships/image" Target="../media/image114.png"/><Relationship Id="rId1" Type="http://schemas.openxmlformats.org/officeDocument/2006/relationships/image" Target="../media/image40.png"/><Relationship Id="rId6" Type="http://schemas.openxmlformats.org/officeDocument/2006/relationships/image" Target="../media/image123.png"/><Relationship Id="rId5" Type="http://schemas.openxmlformats.org/officeDocument/2006/relationships/image" Target="../media/image122.png"/><Relationship Id="rId4" Type="http://schemas.openxmlformats.org/officeDocument/2006/relationships/image" Target="../media/image29.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14.png"/><Relationship Id="rId2" Type="http://schemas.openxmlformats.org/officeDocument/2006/relationships/image" Target="../media/image113.png"/><Relationship Id="rId1" Type="http://schemas.openxmlformats.org/officeDocument/2006/relationships/image" Target="../media/image40.png"/><Relationship Id="rId4" Type="http://schemas.openxmlformats.org/officeDocument/2006/relationships/image" Target="../media/image115.png"/></Relationships>
</file>

<file path=xl/drawings/_rels/drawing28.xml.rels><?xml version="1.0" encoding="UTF-8" standalone="yes"?>
<Relationships xmlns="http://schemas.openxmlformats.org/package/2006/relationships"><Relationship Id="rId1" Type="http://schemas.openxmlformats.org/officeDocument/2006/relationships/image" Target="../media/image124.png"/></Relationships>
</file>

<file path=xl/drawings/_rels/drawing29.xml.rels><?xml version="1.0" encoding="UTF-8" standalone="yes"?>
<Relationships xmlns="http://schemas.openxmlformats.org/package/2006/relationships"><Relationship Id="rId3" Type="http://schemas.openxmlformats.org/officeDocument/2006/relationships/image" Target="../media/image126.png"/><Relationship Id="rId2" Type="http://schemas.openxmlformats.org/officeDocument/2006/relationships/image" Target="../media/image125.png"/><Relationship Id="rId1" Type="http://schemas.openxmlformats.org/officeDocument/2006/relationships/image" Target="../media/image33.png"/><Relationship Id="rId4" Type="http://schemas.openxmlformats.org/officeDocument/2006/relationships/image" Target="../media/image127.png"/></Relationships>
</file>

<file path=xl/drawings/_rels/drawing3.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30.xml.rels><?xml version="1.0" encoding="UTF-8" standalone="yes"?>
<Relationships xmlns="http://schemas.openxmlformats.org/package/2006/relationships"><Relationship Id="rId3" Type="http://schemas.openxmlformats.org/officeDocument/2006/relationships/image" Target="../media/image128.png"/><Relationship Id="rId2" Type="http://schemas.openxmlformats.org/officeDocument/2006/relationships/image" Target="../media/image113.png"/><Relationship Id="rId1" Type="http://schemas.openxmlformats.org/officeDocument/2006/relationships/image" Target="../media/image40.png"/></Relationships>
</file>

<file path=xl/drawings/_rels/drawing31.xml.rels><?xml version="1.0" encoding="UTF-8" standalone="yes"?>
<Relationships xmlns="http://schemas.openxmlformats.org/package/2006/relationships"><Relationship Id="rId2" Type="http://schemas.openxmlformats.org/officeDocument/2006/relationships/image" Target="../media/image129.png"/><Relationship Id="rId1" Type="http://schemas.openxmlformats.org/officeDocument/2006/relationships/image" Target="../media/image29.png"/></Relationships>
</file>

<file path=xl/drawings/_rels/drawing32.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40.png"/></Relationships>
</file>

<file path=xl/drawings/_rels/drawing33.xml.rels><?xml version="1.0" encoding="UTF-8" standalone="yes"?>
<Relationships xmlns="http://schemas.openxmlformats.org/package/2006/relationships"><Relationship Id="rId3" Type="http://schemas.openxmlformats.org/officeDocument/2006/relationships/image" Target="../media/image115.png"/><Relationship Id="rId2" Type="http://schemas.openxmlformats.org/officeDocument/2006/relationships/image" Target="../media/image114.png"/><Relationship Id="rId1" Type="http://schemas.openxmlformats.org/officeDocument/2006/relationships/image" Target="../media/image40.png"/><Relationship Id="rId4" Type="http://schemas.openxmlformats.org/officeDocument/2006/relationships/image" Target="../media/image29.png"/></Relationships>
</file>

<file path=xl/drawings/_rels/drawing34.xml.rels><?xml version="1.0" encoding="UTF-8" standalone="yes"?>
<Relationships xmlns="http://schemas.openxmlformats.org/package/2006/relationships"><Relationship Id="rId2" Type="http://schemas.openxmlformats.org/officeDocument/2006/relationships/image" Target="../media/image131.png"/><Relationship Id="rId1" Type="http://schemas.openxmlformats.org/officeDocument/2006/relationships/image" Target="../media/image130.png"/></Relationships>
</file>

<file path=xl/drawings/_rels/drawing35.xml.rels><?xml version="1.0" encoding="UTF-8" standalone="yes"?>
<Relationships xmlns="http://schemas.openxmlformats.org/package/2006/relationships"><Relationship Id="rId1" Type="http://schemas.openxmlformats.org/officeDocument/2006/relationships/image" Target="../media/image132.png"/></Relationships>
</file>

<file path=xl/drawings/_rels/drawing36.xml.rels><?xml version="1.0" encoding="UTF-8" standalone="yes"?>
<Relationships xmlns="http://schemas.openxmlformats.org/package/2006/relationships"><Relationship Id="rId1" Type="http://schemas.openxmlformats.org/officeDocument/2006/relationships/image" Target="../media/image133.png"/></Relationships>
</file>

<file path=xl/drawings/_rels/drawing37.xml.rels><?xml version="1.0" encoding="UTF-8" standalone="yes"?>
<Relationships xmlns="http://schemas.openxmlformats.org/package/2006/relationships"><Relationship Id="rId1" Type="http://schemas.openxmlformats.org/officeDocument/2006/relationships/image" Target="../media/image134.png"/></Relationships>
</file>

<file path=xl/drawings/_rels/drawing38.xml.rels><?xml version="1.0" encoding="UTF-8" standalone="yes"?>
<Relationships xmlns="http://schemas.openxmlformats.org/package/2006/relationships"><Relationship Id="rId1" Type="http://schemas.openxmlformats.org/officeDocument/2006/relationships/image" Target="../media/image135.png"/></Relationships>
</file>

<file path=xl/drawings/_rels/drawing39.xml.rels><?xml version="1.0" encoding="UTF-8" standalone="yes"?>
<Relationships xmlns="http://schemas.openxmlformats.org/package/2006/relationships"><Relationship Id="rId1" Type="http://schemas.openxmlformats.org/officeDocument/2006/relationships/image" Target="../media/image136.png"/></Relationships>
</file>

<file path=xl/drawings/_rels/drawing4.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s>
</file>

<file path=xl/drawings/_rels/drawing40.xml.rels><?xml version="1.0" encoding="UTF-8" standalone="yes"?>
<Relationships xmlns="http://schemas.openxmlformats.org/package/2006/relationships"><Relationship Id="rId1" Type="http://schemas.openxmlformats.org/officeDocument/2006/relationships/image" Target="../media/image137.png"/></Relationships>
</file>

<file path=xl/drawings/_rels/drawing41.xml.rels><?xml version="1.0" encoding="UTF-8" standalone="yes"?>
<Relationships xmlns="http://schemas.openxmlformats.org/package/2006/relationships"><Relationship Id="rId3" Type="http://schemas.openxmlformats.org/officeDocument/2006/relationships/image" Target="../media/image140.png"/><Relationship Id="rId2" Type="http://schemas.openxmlformats.org/officeDocument/2006/relationships/image" Target="../media/image139.png"/><Relationship Id="rId1" Type="http://schemas.openxmlformats.org/officeDocument/2006/relationships/image" Target="../media/image138.png"/><Relationship Id="rId6" Type="http://schemas.openxmlformats.org/officeDocument/2006/relationships/image" Target="../media/image143.png"/><Relationship Id="rId5" Type="http://schemas.openxmlformats.org/officeDocument/2006/relationships/image" Target="../media/image142.png"/><Relationship Id="rId4" Type="http://schemas.openxmlformats.org/officeDocument/2006/relationships/image" Target="../media/image141.png"/></Relationships>
</file>

<file path=xl/drawings/_rels/drawing42.xml.rels><?xml version="1.0" encoding="UTF-8" standalone="yes"?>
<Relationships xmlns="http://schemas.openxmlformats.org/package/2006/relationships"><Relationship Id="rId1" Type="http://schemas.openxmlformats.org/officeDocument/2006/relationships/image" Target="../media/image144.png"/></Relationships>
</file>

<file path=xl/drawings/_rels/drawing43.xml.rels><?xml version="1.0" encoding="UTF-8" standalone="yes"?>
<Relationships xmlns="http://schemas.openxmlformats.org/package/2006/relationships"><Relationship Id="rId2" Type="http://schemas.openxmlformats.org/officeDocument/2006/relationships/image" Target="../media/image120.png"/><Relationship Id="rId1" Type="http://schemas.openxmlformats.org/officeDocument/2006/relationships/image" Target="../media/image145.png"/></Relationships>
</file>

<file path=xl/drawings/_rels/drawing44.xml.rels><?xml version="1.0" encoding="UTF-8" standalone="yes"?>
<Relationships xmlns="http://schemas.openxmlformats.org/package/2006/relationships"><Relationship Id="rId1" Type="http://schemas.openxmlformats.org/officeDocument/2006/relationships/image" Target="../media/image146.png"/></Relationships>
</file>

<file path=xl/drawings/_rels/drawing45.xml.rels><?xml version="1.0" encoding="UTF-8" standalone="yes"?>
<Relationships xmlns="http://schemas.openxmlformats.org/package/2006/relationships"><Relationship Id="rId1" Type="http://schemas.openxmlformats.org/officeDocument/2006/relationships/image" Target="../media/image147.png"/></Relationships>
</file>

<file path=xl/drawings/_rels/drawing46.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48.png"/><Relationship Id="rId1" Type="http://schemas.openxmlformats.org/officeDocument/2006/relationships/image" Target="../media/image30.png"/></Relationships>
</file>

<file path=xl/drawings/_rels/drawing47.xml.rels><?xml version="1.0" encoding="UTF-8" standalone="yes"?>
<Relationships xmlns="http://schemas.openxmlformats.org/package/2006/relationships"><Relationship Id="rId3" Type="http://schemas.openxmlformats.org/officeDocument/2006/relationships/image" Target="../media/image98.png"/><Relationship Id="rId7" Type="http://schemas.openxmlformats.org/officeDocument/2006/relationships/image" Target="../media/image153.png"/><Relationship Id="rId2" Type="http://schemas.openxmlformats.org/officeDocument/2006/relationships/image" Target="../media/image1.png"/><Relationship Id="rId1" Type="http://schemas.openxmlformats.org/officeDocument/2006/relationships/image" Target="../media/image150.png"/><Relationship Id="rId6" Type="http://schemas.openxmlformats.org/officeDocument/2006/relationships/image" Target="../media/image27.png"/><Relationship Id="rId5" Type="http://schemas.openxmlformats.org/officeDocument/2006/relationships/image" Target="../media/image152.png"/><Relationship Id="rId4" Type="http://schemas.openxmlformats.org/officeDocument/2006/relationships/image" Target="../media/image151.png"/></Relationships>
</file>

<file path=xl/drawings/_rels/drawing48.xml.rels><?xml version="1.0" encoding="UTF-8" standalone="yes"?>
<Relationships xmlns="http://schemas.openxmlformats.org/package/2006/relationships"><Relationship Id="rId8" Type="http://schemas.openxmlformats.org/officeDocument/2006/relationships/image" Target="../media/image161.png"/><Relationship Id="rId3" Type="http://schemas.openxmlformats.org/officeDocument/2006/relationships/image" Target="../media/image156.png"/><Relationship Id="rId7" Type="http://schemas.openxmlformats.org/officeDocument/2006/relationships/image" Target="../media/image160.png"/><Relationship Id="rId12" Type="http://schemas.openxmlformats.org/officeDocument/2006/relationships/image" Target="../media/image165.png"/><Relationship Id="rId2" Type="http://schemas.openxmlformats.org/officeDocument/2006/relationships/image" Target="../media/image155.png"/><Relationship Id="rId1" Type="http://schemas.openxmlformats.org/officeDocument/2006/relationships/image" Target="../media/image154.png"/><Relationship Id="rId6" Type="http://schemas.openxmlformats.org/officeDocument/2006/relationships/image" Target="../media/image159.png"/><Relationship Id="rId11" Type="http://schemas.openxmlformats.org/officeDocument/2006/relationships/image" Target="../media/image164.png"/><Relationship Id="rId5" Type="http://schemas.openxmlformats.org/officeDocument/2006/relationships/image" Target="../media/image158.png"/><Relationship Id="rId10" Type="http://schemas.openxmlformats.org/officeDocument/2006/relationships/image" Target="../media/image163.png"/><Relationship Id="rId4" Type="http://schemas.openxmlformats.org/officeDocument/2006/relationships/image" Target="../media/image157.png"/><Relationship Id="rId9" Type="http://schemas.openxmlformats.org/officeDocument/2006/relationships/image" Target="../media/image162.png"/></Relationships>
</file>

<file path=xl/drawings/_rels/drawing49.xml.rels><?xml version="1.0" encoding="UTF-8" standalone="yes"?>
<Relationships xmlns="http://schemas.openxmlformats.org/package/2006/relationships"><Relationship Id="rId3" Type="http://schemas.openxmlformats.org/officeDocument/2006/relationships/image" Target="../media/image112.png"/><Relationship Id="rId2" Type="http://schemas.openxmlformats.org/officeDocument/2006/relationships/image" Target="../media/image109.png"/><Relationship Id="rId1" Type="http://schemas.openxmlformats.org/officeDocument/2006/relationships/image" Target="../media/image108.png"/><Relationship Id="rId4" Type="http://schemas.openxmlformats.org/officeDocument/2006/relationships/image" Target="../media/image19.png"/></Relationships>
</file>

<file path=xl/drawings/_rels/drawing5.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image" Target="../media/image49.png"/></Relationships>
</file>

<file path=xl/drawings/_rels/drawing50.xml.rels><?xml version="1.0" encoding="UTF-8" standalone="yes"?>
<Relationships xmlns="http://schemas.openxmlformats.org/package/2006/relationships"><Relationship Id="rId3" Type="http://schemas.openxmlformats.org/officeDocument/2006/relationships/image" Target="../media/image126.png"/><Relationship Id="rId2" Type="http://schemas.openxmlformats.org/officeDocument/2006/relationships/image" Target="../media/image33.png"/><Relationship Id="rId1" Type="http://schemas.openxmlformats.org/officeDocument/2006/relationships/image" Target="../media/image34.png"/></Relationships>
</file>

<file path=xl/drawings/_rels/drawing51.xml.rels><?xml version="1.0" encoding="UTF-8" standalone="yes"?>
<Relationships xmlns="http://schemas.openxmlformats.org/package/2006/relationships"><Relationship Id="rId2" Type="http://schemas.openxmlformats.org/officeDocument/2006/relationships/image" Target="../media/image147.png"/><Relationship Id="rId1" Type="http://schemas.openxmlformats.org/officeDocument/2006/relationships/image" Target="../media/image146.png"/></Relationships>
</file>

<file path=xl/drawings/_rels/drawing52.xml.rels><?xml version="1.0" encoding="UTF-8" standalone="yes"?>
<Relationships xmlns="http://schemas.openxmlformats.org/package/2006/relationships"><Relationship Id="rId3" Type="http://schemas.openxmlformats.org/officeDocument/2006/relationships/image" Target="../media/image166.png"/><Relationship Id="rId7" Type="http://schemas.openxmlformats.org/officeDocument/2006/relationships/image" Target="../media/image149.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169.png"/><Relationship Id="rId5" Type="http://schemas.openxmlformats.org/officeDocument/2006/relationships/image" Target="../media/image168.png"/><Relationship Id="rId4" Type="http://schemas.openxmlformats.org/officeDocument/2006/relationships/image" Target="../media/image167.png"/></Relationships>
</file>

<file path=xl/drawings/_rels/drawing53.xml.rels><?xml version="1.0" encoding="UTF-8" standalone="yes"?>
<Relationships xmlns="http://schemas.openxmlformats.org/package/2006/relationships"><Relationship Id="rId3" Type="http://schemas.openxmlformats.org/officeDocument/2006/relationships/image" Target="../media/image172.png"/><Relationship Id="rId2" Type="http://schemas.openxmlformats.org/officeDocument/2006/relationships/image" Target="../media/image171.png"/><Relationship Id="rId1" Type="http://schemas.openxmlformats.org/officeDocument/2006/relationships/image" Target="../media/image170.png"/></Relationships>
</file>

<file path=xl/drawings/_rels/drawing54.xml.rels><?xml version="1.0" encoding="UTF-8" standalone="yes"?>
<Relationships xmlns="http://schemas.openxmlformats.org/package/2006/relationships"><Relationship Id="rId3" Type="http://schemas.openxmlformats.org/officeDocument/2006/relationships/image" Target="../media/image175.png"/><Relationship Id="rId7" Type="http://schemas.openxmlformats.org/officeDocument/2006/relationships/image" Target="../media/image126.png"/><Relationship Id="rId2" Type="http://schemas.openxmlformats.org/officeDocument/2006/relationships/image" Target="../media/image170.png"/><Relationship Id="rId1" Type="http://schemas.openxmlformats.org/officeDocument/2006/relationships/image" Target="../media/image174.png"/><Relationship Id="rId6" Type="http://schemas.openxmlformats.org/officeDocument/2006/relationships/image" Target="../media/image125.png"/><Relationship Id="rId5" Type="http://schemas.openxmlformats.org/officeDocument/2006/relationships/image" Target="../media/image177.png"/><Relationship Id="rId4" Type="http://schemas.openxmlformats.org/officeDocument/2006/relationships/image" Target="../media/image176.png"/></Relationships>
</file>

<file path=xl/drawings/_rels/drawing55.xml.rels><?xml version="1.0" encoding="UTF-8" standalone="yes"?>
<Relationships xmlns="http://schemas.openxmlformats.org/package/2006/relationships"><Relationship Id="rId1" Type="http://schemas.openxmlformats.org/officeDocument/2006/relationships/image" Target="../media/image178.png"/></Relationships>
</file>

<file path=xl/drawings/_rels/drawing56.xml.rels><?xml version="1.0" encoding="UTF-8" standalone="yes"?>
<Relationships xmlns="http://schemas.openxmlformats.org/package/2006/relationships"><Relationship Id="rId3" Type="http://schemas.openxmlformats.org/officeDocument/2006/relationships/image" Target="../media/image179.png"/><Relationship Id="rId7" Type="http://schemas.openxmlformats.org/officeDocument/2006/relationships/image" Target="../media/image176.png"/><Relationship Id="rId2" Type="http://schemas.openxmlformats.org/officeDocument/2006/relationships/image" Target="../media/image167.png"/><Relationship Id="rId1" Type="http://schemas.openxmlformats.org/officeDocument/2006/relationships/image" Target="../media/image169.png"/><Relationship Id="rId6" Type="http://schemas.openxmlformats.org/officeDocument/2006/relationships/image" Target="../media/image175.png"/><Relationship Id="rId5" Type="http://schemas.openxmlformats.org/officeDocument/2006/relationships/image" Target="../media/image30.png"/><Relationship Id="rId4" Type="http://schemas.openxmlformats.org/officeDocument/2006/relationships/image" Target="../media/image29.png"/></Relationships>
</file>

<file path=xl/drawings/_rels/drawing57.xml.rels><?xml version="1.0" encoding="UTF-8" standalone="yes"?>
<Relationships xmlns="http://schemas.openxmlformats.org/package/2006/relationships"><Relationship Id="rId2" Type="http://schemas.openxmlformats.org/officeDocument/2006/relationships/image" Target="../media/image181.png"/><Relationship Id="rId1" Type="http://schemas.openxmlformats.org/officeDocument/2006/relationships/image" Target="../media/image180.png"/></Relationships>
</file>

<file path=xl/drawings/_rels/drawing6.xml.rels><?xml version="1.0" encoding="UTF-8" standalone="yes"?>
<Relationships xmlns="http://schemas.openxmlformats.org/package/2006/relationships"><Relationship Id="rId1" Type="http://schemas.openxmlformats.org/officeDocument/2006/relationships/image" Target="../media/image51.png"/></Relationships>
</file>

<file path=xl/drawings/_rels/drawing7.xml.rels><?xml version="1.0" encoding="UTF-8" standalone="yes"?>
<Relationships xmlns="http://schemas.openxmlformats.org/package/2006/relationships"><Relationship Id="rId1" Type="http://schemas.openxmlformats.org/officeDocument/2006/relationships/image" Target="../media/image52.png"/></Relationships>
</file>

<file path=xl/drawings/_rels/drawing8.xml.rels><?xml version="1.0" encoding="UTF-8" standalone="yes"?>
<Relationships xmlns="http://schemas.openxmlformats.org/package/2006/relationships"><Relationship Id="rId8" Type="http://schemas.openxmlformats.org/officeDocument/2006/relationships/image" Target="../media/image60.png"/><Relationship Id="rId13" Type="http://schemas.openxmlformats.org/officeDocument/2006/relationships/image" Target="../media/image65.png"/><Relationship Id="rId3" Type="http://schemas.openxmlformats.org/officeDocument/2006/relationships/image" Target="../media/image55.png"/><Relationship Id="rId7" Type="http://schemas.openxmlformats.org/officeDocument/2006/relationships/image" Target="../media/image59.png"/><Relationship Id="rId12" Type="http://schemas.openxmlformats.org/officeDocument/2006/relationships/image" Target="../media/image64.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11" Type="http://schemas.openxmlformats.org/officeDocument/2006/relationships/image" Target="../media/image63.png"/><Relationship Id="rId5" Type="http://schemas.openxmlformats.org/officeDocument/2006/relationships/image" Target="../media/image57.png"/><Relationship Id="rId15" Type="http://schemas.openxmlformats.org/officeDocument/2006/relationships/image" Target="../media/image67.png"/><Relationship Id="rId10" Type="http://schemas.openxmlformats.org/officeDocument/2006/relationships/image" Target="../media/image62.png"/><Relationship Id="rId4" Type="http://schemas.openxmlformats.org/officeDocument/2006/relationships/image" Target="../media/image56.png"/><Relationship Id="rId9" Type="http://schemas.openxmlformats.org/officeDocument/2006/relationships/image" Target="../media/image61.png"/><Relationship Id="rId14" Type="http://schemas.openxmlformats.org/officeDocument/2006/relationships/image" Target="../media/image66.png"/></Relationships>
</file>

<file path=xl/drawings/_rels/drawing9.xml.rels><?xml version="1.0" encoding="UTF-8" standalone="yes"?>
<Relationships xmlns="http://schemas.openxmlformats.org/package/2006/relationships"><Relationship Id="rId8" Type="http://schemas.openxmlformats.org/officeDocument/2006/relationships/image" Target="../media/image75.png"/><Relationship Id="rId13" Type="http://schemas.openxmlformats.org/officeDocument/2006/relationships/image" Target="../media/image80.png"/><Relationship Id="rId3" Type="http://schemas.openxmlformats.org/officeDocument/2006/relationships/image" Target="../media/image70.png"/><Relationship Id="rId7" Type="http://schemas.openxmlformats.org/officeDocument/2006/relationships/image" Target="../media/image74.png"/><Relationship Id="rId12" Type="http://schemas.openxmlformats.org/officeDocument/2006/relationships/image" Target="../media/image79.png"/><Relationship Id="rId2" Type="http://schemas.openxmlformats.org/officeDocument/2006/relationships/image" Target="../media/image69.png"/><Relationship Id="rId1" Type="http://schemas.openxmlformats.org/officeDocument/2006/relationships/image" Target="../media/image68.png"/><Relationship Id="rId6" Type="http://schemas.openxmlformats.org/officeDocument/2006/relationships/image" Target="../media/image73.png"/><Relationship Id="rId11" Type="http://schemas.openxmlformats.org/officeDocument/2006/relationships/image" Target="../media/image78.png"/><Relationship Id="rId5" Type="http://schemas.openxmlformats.org/officeDocument/2006/relationships/image" Target="../media/image72.png"/><Relationship Id="rId10" Type="http://schemas.openxmlformats.org/officeDocument/2006/relationships/image" Target="../media/image77.png"/><Relationship Id="rId4" Type="http://schemas.openxmlformats.org/officeDocument/2006/relationships/image" Target="../media/image71.png"/><Relationship Id="rId9" Type="http://schemas.openxmlformats.org/officeDocument/2006/relationships/image" Target="../media/image76.png"/></Relationships>
</file>

<file path=xl/drawings/_rels/vmlDrawing17.vml.rels><?xml version="1.0" encoding="UTF-8" standalone="yes"?>
<Relationships xmlns="http://schemas.openxmlformats.org/package/2006/relationships"><Relationship Id="rId1" Type="http://schemas.openxmlformats.org/officeDocument/2006/relationships/image" Target="../media/image173.emf"/></Relationships>
</file>

<file path=xl/drawings/drawing1.xml><?xml version="1.0" encoding="utf-8"?>
<xdr:wsDr xmlns:xdr="http://schemas.openxmlformats.org/drawingml/2006/spreadsheetDrawing" xmlns:a="http://schemas.openxmlformats.org/drawingml/2006/main">
  <xdr:twoCellAnchor editAs="oneCell">
    <xdr:from>
      <xdr:col>13</xdr:col>
      <xdr:colOff>790575</xdr:colOff>
      <xdr:row>1</xdr:row>
      <xdr:rowOff>25990</xdr:rowOff>
    </xdr:from>
    <xdr:to>
      <xdr:col>16</xdr:col>
      <xdr:colOff>1316102</xdr:colOff>
      <xdr:row>3</xdr:row>
      <xdr:rowOff>934051</xdr:rowOff>
    </xdr:to>
    <xdr:pic>
      <xdr:nvPicPr>
        <xdr:cNvPr id="12" name="Picture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
        <a:stretch>
          <a:fillRect/>
        </a:stretch>
      </xdr:blipFill>
      <xdr:spPr>
        <a:xfrm>
          <a:off x="25346025" y="216490"/>
          <a:ext cx="5326582" cy="2178517"/>
        </a:xfrm>
        <a:prstGeom prst="rect">
          <a:avLst/>
        </a:prstGeom>
        <a:noFill/>
      </xdr:spPr>
    </xdr:pic>
    <xdr:clientData/>
  </xdr:twoCellAnchor>
  <xdr:twoCellAnchor editAs="oneCell">
    <xdr:from>
      <xdr:col>34</xdr:col>
      <xdr:colOff>93586</xdr:colOff>
      <xdr:row>2</xdr:row>
      <xdr:rowOff>561975</xdr:rowOff>
    </xdr:from>
    <xdr:to>
      <xdr:col>35</xdr:col>
      <xdr:colOff>3983357</xdr:colOff>
      <xdr:row>4</xdr:row>
      <xdr:rowOff>971701</xdr:rowOff>
    </xdr:to>
    <xdr:pic>
      <xdr:nvPicPr>
        <xdr:cNvPr id="9" name="Pictur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2"/>
        <a:stretch>
          <a:fillRect/>
        </a:stretch>
      </xdr:blipFill>
      <xdr:spPr>
        <a:xfrm>
          <a:off x="61863211" y="762000"/>
          <a:ext cx="4879009" cy="2571750"/>
        </a:xfrm>
        <a:prstGeom prst="rect">
          <a:avLst/>
        </a:prstGeom>
      </xdr:spPr>
    </xdr:pic>
    <xdr:clientData/>
  </xdr:twoCellAnchor>
  <xdr:twoCellAnchor editAs="oneCell">
    <xdr:from>
      <xdr:col>56</xdr:col>
      <xdr:colOff>253999</xdr:colOff>
      <xdr:row>2</xdr:row>
      <xdr:rowOff>10584</xdr:rowOff>
    </xdr:from>
    <xdr:to>
      <xdr:col>61</xdr:col>
      <xdr:colOff>5160066</xdr:colOff>
      <xdr:row>4</xdr:row>
      <xdr:rowOff>112183</xdr:rowOff>
    </xdr:to>
    <xdr:pic>
      <xdr:nvPicPr>
        <xdr:cNvPr id="16" name="Picture 15">
          <a:extLst>
            <a:ext uri="{FF2B5EF4-FFF2-40B4-BE49-F238E27FC236}">
              <a16:creationId xmlns:a16="http://schemas.microsoft.com/office/drawing/2014/main" id="{00000000-0008-0000-0000-000010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03049916" y="211667"/>
          <a:ext cx="14991834" cy="22648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64</xdr:col>
      <xdr:colOff>169332</xdr:colOff>
      <xdr:row>1</xdr:row>
      <xdr:rowOff>201081</xdr:rowOff>
    </xdr:from>
    <xdr:to>
      <xdr:col>81</xdr:col>
      <xdr:colOff>250268</xdr:colOff>
      <xdr:row>4</xdr:row>
      <xdr:rowOff>302683</xdr:rowOff>
    </xdr:to>
    <xdr:pic>
      <xdr:nvPicPr>
        <xdr:cNvPr id="21" name="Picture 20">
          <a:extLst>
            <a:ext uri="{FF2B5EF4-FFF2-40B4-BE49-F238E27FC236}">
              <a16:creationId xmlns:a16="http://schemas.microsoft.com/office/drawing/2014/main" id="{00000000-0008-0000-0000-00001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6142749" y="201081"/>
          <a:ext cx="18795405" cy="24659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84667</xdr:colOff>
      <xdr:row>9</xdr:row>
      <xdr:rowOff>21166</xdr:rowOff>
    </xdr:from>
    <xdr:to>
      <xdr:col>12</xdr:col>
      <xdr:colOff>3410855</xdr:colOff>
      <xdr:row>12</xdr:row>
      <xdr:rowOff>438398</xdr:rowOff>
    </xdr:to>
    <xdr:pic>
      <xdr:nvPicPr>
        <xdr:cNvPr id="8" name="Picture 7">
          <a:extLst>
            <a:ext uri="{FF2B5EF4-FFF2-40B4-BE49-F238E27FC236}">
              <a16:creationId xmlns:a16="http://schemas.microsoft.com/office/drawing/2014/main" id="{00000000-0008-0000-0000-000008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19081750" y="5090583"/>
          <a:ext cx="5365750" cy="113387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338666</xdr:colOff>
      <xdr:row>10</xdr:row>
      <xdr:rowOff>137584</xdr:rowOff>
    </xdr:from>
    <xdr:to>
      <xdr:col>18</xdr:col>
      <xdr:colOff>55293</xdr:colOff>
      <xdr:row>12</xdr:row>
      <xdr:rowOff>248856</xdr:rowOff>
    </xdr:to>
    <xdr:pic>
      <xdr:nvPicPr>
        <xdr:cNvPr id="7" name="Picture 6">
          <a:extLst>
            <a:ext uri="{FF2B5EF4-FFF2-40B4-BE49-F238E27FC236}">
              <a16:creationId xmlns:a16="http://schemas.microsoft.com/office/drawing/2014/main" id="{00000000-0008-0000-00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4839083" y="4847167"/>
          <a:ext cx="6974375" cy="5926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25</xdr:col>
      <xdr:colOff>751417</xdr:colOff>
      <xdr:row>2</xdr:row>
      <xdr:rowOff>10584</xdr:rowOff>
    </xdr:from>
    <xdr:to>
      <xdr:col>26</xdr:col>
      <xdr:colOff>1598083</xdr:colOff>
      <xdr:row>3</xdr:row>
      <xdr:rowOff>1008663</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7"/>
        <a:stretch>
          <a:fillRect/>
        </a:stretch>
      </xdr:blipFill>
      <xdr:spPr>
        <a:xfrm>
          <a:off x="46429084" y="402167"/>
          <a:ext cx="2624666" cy="209360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47625</xdr:colOff>
      <xdr:row>0</xdr:row>
      <xdr:rowOff>47625</xdr:rowOff>
    </xdr:from>
    <xdr:to>
      <xdr:col>12</xdr:col>
      <xdr:colOff>56234</xdr:colOff>
      <xdr:row>52</xdr:row>
      <xdr:rowOff>122564</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1"/>
        <a:stretch>
          <a:fillRect/>
        </a:stretch>
      </xdr:blipFill>
      <xdr:spPr>
        <a:xfrm>
          <a:off x="47625" y="47625"/>
          <a:ext cx="7323809" cy="10085714"/>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54</xdr:col>
      <xdr:colOff>83344</xdr:colOff>
      <xdr:row>1</xdr:row>
      <xdr:rowOff>11905</xdr:rowOff>
    </xdr:from>
    <xdr:to>
      <xdr:col>64</xdr:col>
      <xdr:colOff>554661</xdr:colOff>
      <xdr:row>4</xdr:row>
      <xdr:rowOff>392905</xdr:rowOff>
    </xdr:to>
    <xdr:pic>
      <xdr:nvPicPr>
        <xdr:cNvPr id="5" name="Picture 4">
          <a:extLst>
            <a:ext uri="{FF2B5EF4-FFF2-40B4-BE49-F238E27FC236}">
              <a16:creationId xmlns:a16="http://schemas.microsoft.com/office/drawing/2014/main" id="{00000000-0008-0000-0A00-000005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541657" y="226218"/>
          <a:ext cx="7615067" cy="139303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18</xdr:col>
      <xdr:colOff>12700</xdr:colOff>
      <xdr:row>66</xdr:row>
      <xdr:rowOff>22225</xdr:rowOff>
    </xdr:from>
    <xdr:to>
      <xdr:col>21</xdr:col>
      <xdr:colOff>53974</xdr:colOff>
      <xdr:row>79</xdr:row>
      <xdr:rowOff>63603</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18923000" y="4327525"/>
          <a:ext cx="5019675" cy="2517878"/>
        </a:xfrm>
        <a:prstGeom prst="rect">
          <a:avLst/>
        </a:prstGeom>
      </xdr:spPr>
    </xdr:pic>
    <xdr:clientData/>
  </xdr:twoCellAnchor>
  <xdr:twoCellAnchor editAs="oneCell">
    <xdr:from>
      <xdr:col>15</xdr:col>
      <xdr:colOff>60855</xdr:colOff>
      <xdr:row>68</xdr:row>
      <xdr:rowOff>59798</xdr:rowOff>
    </xdr:from>
    <xdr:to>
      <xdr:col>16</xdr:col>
      <xdr:colOff>1644258</xdr:colOff>
      <xdr:row>82</xdr:row>
      <xdr:rowOff>18219</xdr:rowOff>
    </xdr:to>
    <xdr:pic>
      <xdr:nvPicPr>
        <xdr:cNvPr id="3" name="Picture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2"/>
        <a:stretch>
          <a:fillRect/>
        </a:stretch>
      </xdr:blipFill>
      <xdr:spPr>
        <a:xfrm>
          <a:off x="14824605" y="6117698"/>
          <a:ext cx="4298028" cy="2636307"/>
        </a:xfrm>
        <a:prstGeom prst="rect">
          <a:avLst/>
        </a:prstGeom>
      </xdr:spPr>
    </xdr:pic>
    <xdr:clientData/>
  </xdr:twoCellAnchor>
  <xdr:twoCellAnchor editAs="oneCell">
    <xdr:from>
      <xdr:col>18</xdr:col>
      <xdr:colOff>19050</xdr:colOff>
      <xdr:row>84</xdr:row>
      <xdr:rowOff>180975</xdr:rowOff>
    </xdr:from>
    <xdr:to>
      <xdr:col>21</xdr:col>
      <xdr:colOff>371474</xdr:colOff>
      <xdr:row>100</xdr:row>
      <xdr:rowOff>167685</xdr:rowOff>
    </xdr:to>
    <xdr:pic>
      <xdr:nvPicPr>
        <xdr:cNvPr id="4" name="Picture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3"/>
        <a:stretch>
          <a:fillRect/>
        </a:stretch>
      </xdr:blipFill>
      <xdr:spPr>
        <a:xfrm>
          <a:off x="18897600" y="7896225"/>
          <a:ext cx="5324475" cy="3034861"/>
        </a:xfrm>
        <a:prstGeom prst="rect">
          <a:avLst/>
        </a:prstGeom>
      </xdr:spPr>
    </xdr:pic>
    <xdr:clientData/>
  </xdr:twoCellAnchor>
  <xdr:twoCellAnchor editAs="oneCell">
    <xdr:from>
      <xdr:col>15</xdr:col>
      <xdr:colOff>28576</xdr:colOff>
      <xdr:row>60</xdr:row>
      <xdr:rowOff>98424</xdr:rowOff>
    </xdr:from>
    <xdr:to>
      <xdr:col>16</xdr:col>
      <xdr:colOff>1047751</xdr:colOff>
      <xdr:row>61</xdr:row>
      <xdr:rowOff>174624</xdr:rowOff>
    </xdr:to>
    <xdr:pic>
      <xdr:nvPicPr>
        <xdr:cNvPr id="5" name="Picture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4"/>
        <a:stretch>
          <a:fillRect/>
        </a:stretch>
      </xdr:blipFill>
      <xdr:spPr>
        <a:xfrm>
          <a:off x="28651201" y="11509374"/>
          <a:ext cx="3733800" cy="266700"/>
        </a:xfrm>
        <a:prstGeom prst="rect">
          <a:avLst/>
        </a:prstGeom>
      </xdr:spPr>
    </xdr:pic>
    <xdr:clientData/>
  </xdr:twoCellAnchor>
  <xdr:twoCellAnchor editAs="oneCell">
    <xdr:from>
      <xdr:col>17</xdr:col>
      <xdr:colOff>2178050</xdr:colOff>
      <xdr:row>60</xdr:row>
      <xdr:rowOff>63500</xdr:rowOff>
    </xdr:from>
    <xdr:to>
      <xdr:col>19</xdr:col>
      <xdr:colOff>1291638</xdr:colOff>
      <xdr:row>61</xdr:row>
      <xdr:rowOff>88900</xdr:rowOff>
    </xdr:to>
    <xdr:pic>
      <xdr:nvPicPr>
        <xdr:cNvPr id="9" name="Picture 8">
          <a:extLst>
            <a:ext uri="{FF2B5EF4-FFF2-40B4-BE49-F238E27FC236}">
              <a16:creationId xmlns:a16="http://schemas.microsoft.com/office/drawing/2014/main" id="{00000000-0008-0000-0B00-000009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8903950" y="3606800"/>
          <a:ext cx="3482387" cy="215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0</xdr:colOff>
      <xdr:row>85</xdr:row>
      <xdr:rowOff>0</xdr:rowOff>
    </xdr:from>
    <xdr:to>
      <xdr:col>16</xdr:col>
      <xdr:colOff>1681397</xdr:colOff>
      <xdr:row>87</xdr:row>
      <xdr:rowOff>103188</xdr:rowOff>
    </xdr:to>
    <xdr:pic>
      <xdr:nvPicPr>
        <xdr:cNvPr id="11" name="Picture 10">
          <a:extLst>
            <a:ext uri="{FF2B5EF4-FFF2-40B4-BE49-F238E27FC236}">
              <a16:creationId xmlns:a16="http://schemas.microsoft.com/office/drawing/2014/main" id="{00000000-0008-0000-0B00-00000B000000}"/>
            </a:ext>
          </a:extLst>
        </xdr:cNvPr>
        <xdr:cNvPicPr>
          <a:picLocks noChangeAspect="1"/>
        </xdr:cNvPicPr>
      </xdr:nvPicPr>
      <xdr:blipFill>
        <a:blip xmlns:r="http://schemas.openxmlformats.org/officeDocument/2006/relationships" r:embed="rId6"/>
        <a:stretch>
          <a:fillRect/>
        </a:stretch>
      </xdr:blipFill>
      <xdr:spPr>
        <a:xfrm>
          <a:off x="12342813" y="8493125"/>
          <a:ext cx="4399198" cy="484188"/>
        </a:xfrm>
        <a:prstGeom prst="rect">
          <a:avLst/>
        </a:prstGeom>
      </xdr:spPr>
    </xdr:pic>
    <xdr:clientData/>
  </xdr:twoCellAnchor>
  <xdr:twoCellAnchor editAs="oneCell">
    <xdr:from>
      <xdr:col>15</xdr:col>
      <xdr:colOff>39687</xdr:colOff>
      <xdr:row>94</xdr:row>
      <xdr:rowOff>1</xdr:rowOff>
    </xdr:from>
    <xdr:to>
      <xdr:col>16</xdr:col>
      <xdr:colOff>771094</xdr:colOff>
      <xdr:row>101</xdr:row>
      <xdr:rowOff>117144</xdr:rowOff>
    </xdr:to>
    <xdr:pic>
      <xdr:nvPicPr>
        <xdr:cNvPr id="12" name="Picture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7"/>
        <a:stretch>
          <a:fillRect/>
        </a:stretch>
      </xdr:blipFill>
      <xdr:spPr>
        <a:xfrm>
          <a:off x="12382500" y="10779126"/>
          <a:ext cx="3447619" cy="1447619"/>
        </a:xfrm>
        <a:prstGeom prst="rect">
          <a:avLst/>
        </a:prstGeom>
      </xdr:spPr>
    </xdr:pic>
    <xdr:clientData/>
  </xdr:twoCellAnchor>
  <xdr:twoCellAnchor editAs="oneCell">
    <xdr:from>
      <xdr:col>15</xdr:col>
      <xdr:colOff>17463</xdr:colOff>
      <xdr:row>112</xdr:row>
      <xdr:rowOff>152400</xdr:rowOff>
    </xdr:from>
    <xdr:to>
      <xdr:col>16</xdr:col>
      <xdr:colOff>2308224</xdr:colOff>
      <xdr:row>125</xdr:row>
      <xdr:rowOff>184476</xdr:rowOff>
    </xdr:to>
    <xdr:pic>
      <xdr:nvPicPr>
        <xdr:cNvPr id="13" name="Picture 12">
          <a:extLst>
            <a:ext uri="{FF2B5EF4-FFF2-40B4-BE49-F238E27FC236}">
              <a16:creationId xmlns:a16="http://schemas.microsoft.com/office/drawing/2014/main" id="{00000000-0008-0000-0B00-00000D000000}"/>
            </a:ext>
          </a:extLst>
        </xdr:cNvPr>
        <xdr:cNvPicPr>
          <a:picLocks noChangeAspect="1"/>
        </xdr:cNvPicPr>
      </xdr:nvPicPr>
      <xdr:blipFill>
        <a:blip xmlns:r="http://schemas.openxmlformats.org/officeDocument/2006/relationships" r:embed="rId8"/>
        <a:stretch>
          <a:fillRect/>
        </a:stretch>
      </xdr:blipFill>
      <xdr:spPr>
        <a:xfrm>
          <a:off x="14781213" y="14706600"/>
          <a:ext cx="5005386" cy="2508576"/>
        </a:xfrm>
        <a:prstGeom prst="rect">
          <a:avLst/>
        </a:prstGeom>
      </xdr:spPr>
    </xdr:pic>
    <xdr:clientData/>
  </xdr:twoCellAnchor>
  <xdr:twoCellAnchor editAs="oneCell">
    <xdr:from>
      <xdr:col>15</xdr:col>
      <xdr:colOff>0</xdr:colOff>
      <xdr:row>105</xdr:row>
      <xdr:rowOff>190499</xdr:rowOff>
    </xdr:from>
    <xdr:to>
      <xdr:col>16</xdr:col>
      <xdr:colOff>928186</xdr:colOff>
      <xdr:row>107</xdr:row>
      <xdr:rowOff>119062</xdr:rowOff>
    </xdr:to>
    <xdr:pic>
      <xdr:nvPicPr>
        <xdr:cNvPr id="14" name="Picture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9"/>
        <a:stretch>
          <a:fillRect/>
        </a:stretch>
      </xdr:blipFill>
      <xdr:spPr>
        <a:xfrm>
          <a:off x="12342813" y="13065124"/>
          <a:ext cx="3644398" cy="309563"/>
        </a:xfrm>
        <a:prstGeom prst="rect">
          <a:avLst/>
        </a:prstGeom>
      </xdr:spPr>
    </xdr:pic>
    <xdr:clientData/>
  </xdr:twoCellAnchor>
  <xdr:twoCellAnchor editAs="oneCell">
    <xdr:from>
      <xdr:col>18</xdr:col>
      <xdr:colOff>1</xdr:colOff>
      <xdr:row>112</xdr:row>
      <xdr:rowOff>0</xdr:rowOff>
    </xdr:from>
    <xdr:to>
      <xdr:col>20</xdr:col>
      <xdr:colOff>436564</xdr:colOff>
      <xdr:row>125</xdr:row>
      <xdr:rowOff>47003</xdr:rowOff>
    </xdr:to>
    <xdr:pic>
      <xdr:nvPicPr>
        <xdr:cNvPr id="15" name="Picture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10"/>
        <a:stretch>
          <a:fillRect/>
        </a:stretch>
      </xdr:blipFill>
      <xdr:spPr>
        <a:xfrm>
          <a:off x="18891251" y="14208125"/>
          <a:ext cx="4802188" cy="2523503"/>
        </a:xfrm>
        <a:prstGeom prst="rect">
          <a:avLst/>
        </a:prstGeom>
      </xdr:spPr>
    </xdr:pic>
    <xdr:clientData/>
  </xdr:twoCellAnchor>
  <xdr:twoCellAnchor editAs="oneCell">
    <xdr:from>
      <xdr:col>18</xdr:col>
      <xdr:colOff>0</xdr:colOff>
      <xdr:row>106</xdr:row>
      <xdr:rowOff>0</xdr:rowOff>
    </xdr:from>
    <xdr:to>
      <xdr:col>19</xdr:col>
      <xdr:colOff>293342</xdr:colOff>
      <xdr:row>107</xdr:row>
      <xdr:rowOff>134938</xdr:rowOff>
    </xdr:to>
    <xdr:pic>
      <xdr:nvPicPr>
        <xdr:cNvPr id="16" name="Picture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11"/>
        <a:stretch>
          <a:fillRect/>
        </a:stretch>
      </xdr:blipFill>
      <xdr:spPr>
        <a:xfrm>
          <a:off x="18891250" y="13065125"/>
          <a:ext cx="2476155" cy="325438"/>
        </a:xfrm>
        <a:prstGeom prst="rect">
          <a:avLst/>
        </a:prstGeom>
      </xdr:spPr>
    </xdr:pic>
    <xdr:clientData/>
  </xdr:twoCellAnchor>
  <xdr:twoCellAnchor editAs="oneCell">
    <xdr:from>
      <xdr:col>18</xdr:col>
      <xdr:colOff>11906</xdr:colOff>
      <xdr:row>134</xdr:row>
      <xdr:rowOff>71437</xdr:rowOff>
    </xdr:from>
    <xdr:to>
      <xdr:col>22</xdr:col>
      <xdr:colOff>39781</xdr:colOff>
      <xdr:row>150</xdr:row>
      <xdr:rowOff>156768</xdr:rowOff>
    </xdr:to>
    <xdr:pic>
      <xdr:nvPicPr>
        <xdr:cNvPr id="7" name="Picture 6">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12"/>
        <a:stretch>
          <a:fillRect/>
        </a:stretch>
      </xdr:blipFill>
      <xdr:spPr>
        <a:xfrm>
          <a:off x="18871406" y="18883312"/>
          <a:ext cx="5600000" cy="3152381"/>
        </a:xfrm>
        <a:prstGeom prst="rect">
          <a:avLst/>
        </a:prstGeom>
      </xdr:spPr>
    </xdr:pic>
    <xdr:clientData/>
  </xdr:twoCellAnchor>
  <xdr:twoCellAnchor editAs="oneCell">
    <xdr:from>
      <xdr:col>15</xdr:col>
      <xdr:colOff>0</xdr:colOff>
      <xdr:row>140</xdr:row>
      <xdr:rowOff>190499</xdr:rowOff>
    </xdr:from>
    <xdr:to>
      <xdr:col>15</xdr:col>
      <xdr:colOff>2618901</xdr:colOff>
      <xdr:row>142</xdr:row>
      <xdr:rowOff>180974</xdr:rowOff>
    </xdr:to>
    <xdr:pic>
      <xdr:nvPicPr>
        <xdr:cNvPr id="10" name="Picture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13"/>
        <a:stretch>
          <a:fillRect/>
        </a:stretch>
      </xdr:blipFill>
      <xdr:spPr>
        <a:xfrm>
          <a:off x="12582525" y="20021549"/>
          <a:ext cx="2618901" cy="371475"/>
        </a:xfrm>
        <a:prstGeom prst="rect">
          <a:avLst/>
        </a:prstGeom>
      </xdr:spPr>
    </xdr:pic>
    <xdr:clientData/>
  </xdr:twoCellAnchor>
  <xdr:twoCellAnchor editAs="oneCell">
    <xdr:from>
      <xdr:col>17</xdr:col>
      <xdr:colOff>2143125</xdr:colOff>
      <xdr:row>156</xdr:row>
      <xdr:rowOff>9525</xdr:rowOff>
    </xdr:from>
    <xdr:to>
      <xdr:col>25</xdr:col>
      <xdr:colOff>170498</xdr:colOff>
      <xdr:row>156</xdr:row>
      <xdr:rowOff>180954</xdr:rowOff>
    </xdr:to>
    <xdr:pic>
      <xdr:nvPicPr>
        <xdr:cNvPr id="6" name="Picture 5">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14"/>
        <a:stretch>
          <a:fillRect/>
        </a:stretch>
      </xdr:blipFill>
      <xdr:spPr>
        <a:xfrm>
          <a:off x="19088100" y="22926675"/>
          <a:ext cx="7619048" cy="171429"/>
        </a:xfrm>
        <a:prstGeom prst="rect">
          <a:avLst/>
        </a:prstGeom>
      </xdr:spPr>
    </xdr:pic>
    <xdr:clientData/>
  </xdr:twoCellAnchor>
  <xdr:twoCellAnchor editAs="oneCell">
    <xdr:from>
      <xdr:col>18</xdr:col>
      <xdr:colOff>0</xdr:colOff>
      <xdr:row>159</xdr:row>
      <xdr:rowOff>0</xdr:rowOff>
    </xdr:from>
    <xdr:to>
      <xdr:col>22</xdr:col>
      <xdr:colOff>75493</xdr:colOff>
      <xdr:row>174</xdr:row>
      <xdr:rowOff>85357</xdr:rowOff>
    </xdr:to>
    <xdr:pic>
      <xdr:nvPicPr>
        <xdr:cNvPr id="18" name="Picture 17">
          <a:extLst>
            <a:ext uri="{FF2B5EF4-FFF2-40B4-BE49-F238E27FC236}">
              <a16:creationId xmlns:a16="http://schemas.microsoft.com/office/drawing/2014/main" id="{00000000-0008-0000-0B00-000012000000}"/>
            </a:ext>
          </a:extLst>
        </xdr:cNvPr>
        <xdr:cNvPicPr>
          <a:picLocks noChangeAspect="1"/>
        </xdr:cNvPicPr>
      </xdr:nvPicPr>
      <xdr:blipFill>
        <a:blip xmlns:r="http://schemas.openxmlformats.org/officeDocument/2006/relationships" r:embed="rId15"/>
        <a:stretch>
          <a:fillRect/>
        </a:stretch>
      </xdr:blipFill>
      <xdr:spPr>
        <a:xfrm>
          <a:off x="19126200" y="23488650"/>
          <a:ext cx="5657143" cy="2942857"/>
        </a:xfrm>
        <a:prstGeom prst="rect">
          <a:avLst/>
        </a:prstGeom>
      </xdr:spPr>
    </xdr:pic>
    <xdr:clientData/>
  </xdr:twoCellAnchor>
  <xdr:twoCellAnchor editAs="oneCell">
    <xdr:from>
      <xdr:col>14</xdr:col>
      <xdr:colOff>457200</xdr:colOff>
      <xdr:row>1</xdr:row>
      <xdr:rowOff>0</xdr:rowOff>
    </xdr:from>
    <xdr:to>
      <xdr:col>16</xdr:col>
      <xdr:colOff>3837727</xdr:colOff>
      <xdr:row>35</xdr:row>
      <xdr:rowOff>50973</xdr:rowOff>
    </xdr:to>
    <xdr:pic>
      <xdr:nvPicPr>
        <xdr:cNvPr id="17" name="Picture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16"/>
        <a:stretch>
          <a:fillRect/>
        </a:stretch>
      </xdr:blipFill>
      <xdr:spPr>
        <a:xfrm>
          <a:off x="33794700" y="1295400"/>
          <a:ext cx="6809527" cy="774284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2</xdr:col>
      <xdr:colOff>307975</xdr:colOff>
      <xdr:row>42</xdr:row>
      <xdr:rowOff>85726</xdr:rowOff>
    </xdr:from>
    <xdr:to>
      <xdr:col>8</xdr:col>
      <xdr:colOff>776609</xdr:colOff>
      <xdr:row>63</xdr:row>
      <xdr:rowOff>57714</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1631950" y="6667501"/>
          <a:ext cx="10088884" cy="397248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2</xdr:col>
      <xdr:colOff>0</xdr:colOff>
      <xdr:row>39</xdr:row>
      <xdr:rowOff>0</xdr:rowOff>
    </xdr:from>
    <xdr:to>
      <xdr:col>8</xdr:col>
      <xdr:colOff>1113167</xdr:colOff>
      <xdr:row>69</xdr:row>
      <xdr:rowOff>56429</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219200" y="6048375"/>
          <a:ext cx="10066667" cy="577142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571500</xdr:colOff>
      <xdr:row>38</xdr:row>
      <xdr:rowOff>123825</xdr:rowOff>
    </xdr:from>
    <xdr:to>
      <xdr:col>7</xdr:col>
      <xdr:colOff>399049</xdr:colOff>
      <xdr:row>58</xdr:row>
      <xdr:rowOff>28111</xdr:rowOff>
    </xdr:to>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xfrm>
          <a:off x="1181100" y="5991225"/>
          <a:ext cx="8009524" cy="3714286"/>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2</xdr:col>
      <xdr:colOff>28575</xdr:colOff>
      <xdr:row>37</xdr:row>
      <xdr:rowOff>28575</xdr:rowOff>
    </xdr:from>
    <xdr:to>
      <xdr:col>7</xdr:col>
      <xdr:colOff>684771</xdr:colOff>
      <xdr:row>62</xdr:row>
      <xdr:rowOff>161313</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1"/>
        <a:stretch>
          <a:fillRect/>
        </a:stretch>
      </xdr:blipFill>
      <xdr:spPr>
        <a:xfrm>
          <a:off x="1247775" y="5695950"/>
          <a:ext cx="8228571" cy="4895238"/>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571500</xdr:colOff>
      <xdr:row>82</xdr:row>
      <xdr:rowOff>0</xdr:rowOff>
    </xdr:from>
    <xdr:to>
      <xdr:col>2</xdr:col>
      <xdr:colOff>3323375</xdr:colOff>
      <xdr:row>131</xdr:row>
      <xdr:rowOff>65500</xdr:rowOff>
    </xdr:to>
    <xdr:pic>
      <xdr:nvPicPr>
        <xdr:cNvPr id="18" name="Picture 17">
          <a:extLst>
            <a:ext uri="{FF2B5EF4-FFF2-40B4-BE49-F238E27FC236}">
              <a16:creationId xmlns:a16="http://schemas.microsoft.com/office/drawing/2014/main" id="{00000000-0008-0000-1000-000012000000}"/>
            </a:ext>
          </a:extLst>
        </xdr:cNvPr>
        <xdr:cNvPicPr>
          <a:picLocks noChangeAspect="1"/>
        </xdr:cNvPicPr>
      </xdr:nvPicPr>
      <xdr:blipFill>
        <a:blip xmlns:r="http://schemas.openxmlformats.org/officeDocument/2006/relationships" r:embed="rId1"/>
        <a:stretch>
          <a:fillRect/>
        </a:stretch>
      </xdr:blipFill>
      <xdr:spPr>
        <a:xfrm>
          <a:off x="1285875" y="16716375"/>
          <a:ext cx="6800000" cy="9400000"/>
        </a:xfrm>
        <a:prstGeom prst="rect">
          <a:avLst/>
        </a:prstGeom>
      </xdr:spPr>
    </xdr:pic>
    <xdr:clientData/>
  </xdr:twoCellAnchor>
  <xdr:twoCellAnchor editAs="oneCell">
    <xdr:from>
      <xdr:col>2</xdr:col>
      <xdr:colOff>3800475</xdr:colOff>
      <xdr:row>83</xdr:row>
      <xdr:rowOff>76200</xdr:rowOff>
    </xdr:from>
    <xdr:to>
      <xdr:col>3</xdr:col>
      <xdr:colOff>4237764</xdr:colOff>
      <xdr:row>139</xdr:row>
      <xdr:rowOff>84390</xdr:rowOff>
    </xdr:to>
    <xdr:pic>
      <xdr:nvPicPr>
        <xdr:cNvPr id="21" name="Picture 20">
          <a:extLst>
            <a:ext uri="{FF2B5EF4-FFF2-40B4-BE49-F238E27FC236}">
              <a16:creationId xmlns:a16="http://schemas.microsoft.com/office/drawing/2014/main" id="{00000000-0008-0000-1000-000015000000}"/>
            </a:ext>
          </a:extLst>
        </xdr:cNvPr>
        <xdr:cNvPicPr>
          <a:picLocks noChangeAspect="1"/>
        </xdr:cNvPicPr>
      </xdr:nvPicPr>
      <xdr:blipFill>
        <a:blip xmlns:r="http://schemas.openxmlformats.org/officeDocument/2006/relationships" r:embed="rId2"/>
        <a:stretch>
          <a:fillRect/>
        </a:stretch>
      </xdr:blipFill>
      <xdr:spPr>
        <a:xfrm>
          <a:off x="8562975" y="16983075"/>
          <a:ext cx="6885714" cy="10676190"/>
        </a:xfrm>
        <a:prstGeom prst="rect">
          <a:avLst/>
        </a:prstGeom>
      </xdr:spPr>
    </xdr:pic>
    <xdr:clientData/>
  </xdr:twoCellAnchor>
  <xdr:twoCellAnchor editAs="oneCell">
    <xdr:from>
      <xdr:col>3</xdr:col>
      <xdr:colOff>4448175</xdr:colOff>
      <xdr:row>83</xdr:row>
      <xdr:rowOff>19050</xdr:rowOff>
    </xdr:from>
    <xdr:to>
      <xdr:col>4</xdr:col>
      <xdr:colOff>5380773</xdr:colOff>
      <xdr:row>139</xdr:row>
      <xdr:rowOff>55812</xdr:rowOff>
    </xdr:to>
    <xdr:pic>
      <xdr:nvPicPr>
        <xdr:cNvPr id="23" name="Picture 22">
          <a:extLst>
            <a:ext uri="{FF2B5EF4-FFF2-40B4-BE49-F238E27FC236}">
              <a16:creationId xmlns:a16="http://schemas.microsoft.com/office/drawing/2014/main" id="{00000000-0008-0000-1000-000017000000}"/>
            </a:ext>
          </a:extLst>
        </xdr:cNvPr>
        <xdr:cNvPicPr>
          <a:picLocks noChangeAspect="1"/>
        </xdr:cNvPicPr>
      </xdr:nvPicPr>
      <xdr:blipFill>
        <a:blip xmlns:r="http://schemas.openxmlformats.org/officeDocument/2006/relationships" r:embed="rId3"/>
        <a:stretch>
          <a:fillRect/>
        </a:stretch>
      </xdr:blipFill>
      <xdr:spPr>
        <a:xfrm>
          <a:off x="15659100" y="16925925"/>
          <a:ext cx="6819048" cy="10704762"/>
        </a:xfrm>
        <a:prstGeom prst="rect">
          <a:avLst/>
        </a:prstGeom>
      </xdr:spPr>
    </xdr:pic>
    <xdr:clientData/>
  </xdr:twoCellAnchor>
  <xdr:twoCellAnchor editAs="oneCell">
    <xdr:from>
      <xdr:col>5</xdr:col>
      <xdr:colOff>0</xdr:colOff>
      <xdr:row>83</xdr:row>
      <xdr:rowOff>0</xdr:rowOff>
    </xdr:from>
    <xdr:to>
      <xdr:col>5</xdr:col>
      <xdr:colOff>6876190</xdr:colOff>
      <xdr:row>139</xdr:row>
      <xdr:rowOff>74857</xdr:rowOff>
    </xdr:to>
    <xdr:pic>
      <xdr:nvPicPr>
        <xdr:cNvPr id="24" name="Picture 23">
          <a:extLst>
            <a:ext uri="{FF2B5EF4-FFF2-40B4-BE49-F238E27FC236}">
              <a16:creationId xmlns:a16="http://schemas.microsoft.com/office/drawing/2014/main" id="{00000000-0008-0000-1000-000018000000}"/>
            </a:ext>
          </a:extLst>
        </xdr:cNvPr>
        <xdr:cNvPicPr>
          <a:picLocks noChangeAspect="1"/>
        </xdr:cNvPicPr>
      </xdr:nvPicPr>
      <xdr:blipFill>
        <a:blip xmlns:r="http://schemas.openxmlformats.org/officeDocument/2006/relationships" r:embed="rId4"/>
        <a:stretch>
          <a:fillRect/>
        </a:stretch>
      </xdr:blipFill>
      <xdr:spPr>
        <a:xfrm>
          <a:off x="23136225" y="16906875"/>
          <a:ext cx="6876190" cy="10742857"/>
        </a:xfrm>
        <a:prstGeom prst="rect">
          <a:avLst/>
        </a:prstGeom>
      </xdr:spPr>
    </xdr:pic>
    <xdr:clientData/>
  </xdr:twoCellAnchor>
  <xdr:twoCellAnchor editAs="oneCell">
    <xdr:from>
      <xdr:col>6</xdr:col>
      <xdr:colOff>0</xdr:colOff>
      <xdr:row>83</xdr:row>
      <xdr:rowOff>0</xdr:rowOff>
    </xdr:from>
    <xdr:to>
      <xdr:col>7</xdr:col>
      <xdr:colOff>1246915</xdr:colOff>
      <xdr:row>139</xdr:row>
      <xdr:rowOff>17714</xdr:rowOff>
    </xdr:to>
    <xdr:pic>
      <xdr:nvPicPr>
        <xdr:cNvPr id="26" name="Picture 25">
          <a:extLst>
            <a:ext uri="{FF2B5EF4-FFF2-40B4-BE49-F238E27FC236}">
              <a16:creationId xmlns:a16="http://schemas.microsoft.com/office/drawing/2014/main" id="{00000000-0008-0000-1000-00001A000000}"/>
            </a:ext>
          </a:extLst>
        </xdr:cNvPr>
        <xdr:cNvPicPr>
          <a:picLocks noChangeAspect="1"/>
        </xdr:cNvPicPr>
      </xdr:nvPicPr>
      <xdr:blipFill>
        <a:blip xmlns:r="http://schemas.openxmlformats.org/officeDocument/2006/relationships" r:embed="rId5"/>
        <a:stretch>
          <a:fillRect/>
        </a:stretch>
      </xdr:blipFill>
      <xdr:spPr>
        <a:xfrm>
          <a:off x="31299150" y="16906875"/>
          <a:ext cx="6876190" cy="1068571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20</xdr:col>
      <xdr:colOff>12700</xdr:colOff>
      <xdr:row>64</xdr:row>
      <xdr:rowOff>22225</xdr:rowOff>
    </xdr:from>
    <xdr:to>
      <xdr:col>21</xdr:col>
      <xdr:colOff>577849</xdr:colOff>
      <xdr:row>77</xdr:row>
      <xdr:rowOff>63603</xdr:rowOff>
    </xdr:to>
    <xdr:pic>
      <xdr:nvPicPr>
        <xdr:cNvPr id="2" name="Picture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xfrm>
          <a:off x="77250925" y="9832975"/>
          <a:ext cx="5013324" cy="2517878"/>
        </a:xfrm>
        <a:prstGeom prst="rect">
          <a:avLst/>
        </a:prstGeom>
      </xdr:spPr>
    </xdr:pic>
    <xdr:clientData/>
  </xdr:twoCellAnchor>
  <xdr:twoCellAnchor editAs="oneCell">
    <xdr:from>
      <xdr:col>17</xdr:col>
      <xdr:colOff>60855</xdr:colOff>
      <xdr:row>66</xdr:row>
      <xdr:rowOff>59798</xdr:rowOff>
    </xdr:from>
    <xdr:to>
      <xdr:col>17</xdr:col>
      <xdr:colOff>4358883</xdr:colOff>
      <xdr:row>80</xdr:row>
      <xdr:rowOff>48155</xdr:rowOff>
    </xdr:to>
    <xdr:pic>
      <xdr:nvPicPr>
        <xdr:cNvPr id="3" name="Picture 2">
          <a:extLst>
            <a:ext uri="{FF2B5EF4-FFF2-40B4-BE49-F238E27FC236}">
              <a16:creationId xmlns:a16="http://schemas.microsoft.com/office/drawing/2014/main" id="{00000000-0008-0000-1100-000003000000}"/>
            </a:ext>
          </a:extLst>
        </xdr:cNvPr>
        <xdr:cNvPicPr>
          <a:picLocks noChangeAspect="1"/>
        </xdr:cNvPicPr>
      </xdr:nvPicPr>
      <xdr:blipFill>
        <a:blip xmlns:r="http://schemas.openxmlformats.org/officeDocument/2006/relationships" r:embed="rId2"/>
        <a:stretch>
          <a:fillRect/>
        </a:stretch>
      </xdr:blipFill>
      <xdr:spPr>
        <a:xfrm>
          <a:off x="68459880" y="10251548"/>
          <a:ext cx="4298028" cy="2655357"/>
        </a:xfrm>
        <a:prstGeom prst="rect">
          <a:avLst/>
        </a:prstGeom>
      </xdr:spPr>
    </xdr:pic>
    <xdr:clientData/>
  </xdr:twoCellAnchor>
  <xdr:twoCellAnchor editAs="oneCell">
    <xdr:from>
      <xdr:col>20</xdr:col>
      <xdr:colOff>19050</xdr:colOff>
      <xdr:row>82</xdr:row>
      <xdr:rowOff>180975</xdr:rowOff>
    </xdr:from>
    <xdr:to>
      <xdr:col>21</xdr:col>
      <xdr:colOff>895349</xdr:colOff>
      <xdr:row>99</xdr:row>
      <xdr:rowOff>58828</xdr:rowOff>
    </xdr:to>
    <xdr:pic>
      <xdr:nvPicPr>
        <xdr:cNvPr id="4" name="Picture 3">
          <a:extLst>
            <a:ext uri="{FF2B5EF4-FFF2-40B4-BE49-F238E27FC236}">
              <a16:creationId xmlns:a16="http://schemas.microsoft.com/office/drawing/2014/main" id="{00000000-0008-0000-1100-000004000000}"/>
            </a:ext>
          </a:extLst>
        </xdr:cNvPr>
        <xdr:cNvPicPr>
          <a:picLocks noChangeAspect="1"/>
        </xdr:cNvPicPr>
      </xdr:nvPicPr>
      <xdr:blipFill>
        <a:blip xmlns:r="http://schemas.openxmlformats.org/officeDocument/2006/relationships" r:embed="rId3"/>
        <a:stretch>
          <a:fillRect/>
        </a:stretch>
      </xdr:blipFill>
      <xdr:spPr>
        <a:xfrm>
          <a:off x="77257275" y="13439775"/>
          <a:ext cx="5324474" cy="3116353"/>
        </a:xfrm>
        <a:prstGeom prst="rect">
          <a:avLst/>
        </a:prstGeom>
      </xdr:spPr>
    </xdr:pic>
    <xdr:clientData/>
  </xdr:twoCellAnchor>
  <xdr:twoCellAnchor editAs="oneCell">
    <xdr:from>
      <xdr:col>17</xdr:col>
      <xdr:colOff>28576</xdr:colOff>
      <xdr:row>58</xdr:row>
      <xdr:rowOff>69849</xdr:rowOff>
    </xdr:from>
    <xdr:to>
      <xdr:col>17</xdr:col>
      <xdr:colOff>3762376</xdr:colOff>
      <xdr:row>59</xdr:row>
      <xdr:rowOff>146049</xdr:rowOff>
    </xdr:to>
    <xdr:pic>
      <xdr:nvPicPr>
        <xdr:cNvPr id="5" name="Picture 4">
          <a:extLst>
            <a:ext uri="{FF2B5EF4-FFF2-40B4-BE49-F238E27FC236}">
              <a16:creationId xmlns:a16="http://schemas.microsoft.com/office/drawing/2014/main" id="{00000000-0008-0000-1100-000005000000}"/>
            </a:ext>
          </a:extLst>
        </xdr:cNvPr>
        <xdr:cNvPicPr>
          <a:picLocks noChangeAspect="1"/>
        </xdr:cNvPicPr>
      </xdr:nvPicPr>
      <xdr:blipFill>
        <a:blip xmlns:r="http://schemas.openxmlformats.org/officeDocument/2006/relationships" r:embed="rId4"/>
        <a:stretch>
          <a:fillRect/>
        </a:stretch>
      </xdr:blipFill>
      <xdr:spPr>
        <a:xfrm>
          <a:off x="68427601" y="8728074"/>
          <a:ext cx="3733800" cy="266700"/>
        </a:xfrm>
        <a:prstGeom prst="rect">
          <a:avLst/>
        </a:prstGeom>
      </xdr:spPr>
    </xdr:pic>
    <xdr:clientData/>
  </xdr:twoCellAnchor>
  <xdr:twoCellAnchor editAs="oneCell">
    <xdr:from>
      <xdr:col>19</xdr:col>
      <xdr:colOff>2178050</xdr:colOff>
      <xdr:row>58</xdr:row>
      <xdr:rowOff>63500</xdr:rowOff>
    </xdr:from>
    <xdr:to>
      <xdr:col>20</xdr:col>
      <xdr:colOff>1205913</xdr:colOff>
      <xdr:row>59</xdr:row>
      <xdr:rowOff>88900</xdr:rowOff>
    </xdr:to>
    <xdr:pic>
      <xdr:nvPicPr>
        <xdr:cNvPr id="6" name="Picture 5">
          <a:extLst>
            <a:ext uri="{FF2B5EF4-FFF2-40B4-BE49-F238E27FC236}">
              <a16:creationId xmlns:a16="http://schemas.microsoft.com/office/drawing/2014/main" id="{00000000-0008-0000-11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7235050" y="8721725"/>
          <a:ext cx="3476038" cy="215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83</xdr:row>
      <xdr:rowOff>0</xdr:rowOff>
    </xdr:from>
    <xdr:to>
      <xdr:col>17</xdr:col>
      <xdr:colOff>4396022</xdr:colOff>
      <xdr:row>85</xdr:row>
      <xdr:rowOff>103188</xdr:rowOff>
    </xdr:to>
    <xdr:pic>
      <xdr:nvPicPr>
        <xdr:cNvPr id="7" name="Picture 6">
          <a:extLst>
            <a:ext uri="{FF2B5EF4-FFF2-40B4-BE49-F238E27FC236}">
              <a16:creationId xmlns:a16="http://schemas.microsoft.com/office/drawing/2014/main" id="{00000000-0008-0000-1100-000007000000}"/>
            </a:ext>
          </a:extLst>
        </xdr:cNvPr>
        <xdr:cNvPicPr>
          <a:picLocks noChangeAspect="1"/>
        </xdr:cNvPicPr>
      </xdr:nvPicPr>
      <xdr:blipFill>
        <a:blip xmlns:r="http://schemas.openxmlformats.org/officeDocument/2006/relationships" r:embed="rId6"/>
        <a:stretch>
          <a:fillRect/>
        </a:stretch>
      </xdr:blipFill>
      <xdr:spPr>
        <a:xfrm>
          <a:off x="68399025" y="13449300"/>
          <a:ext cx="4396022" cy="484188"/>
        </a:xfrm>
        <a:prstGeom prst="rect">
          <a:avLst/>
        </a:prstGeom>
      </xdr:spPr>
    </xdr:pic>
    <xdr:clientData/>
  </xdr:twoCellAnchor>
  <xdr:twoCellAnchor editAs="oneCell">
    <xdr:from>
      <xdr:col>17</xdr:col>
      <xdr:colOff>39687</xdr:colOff>
      <xdr:row>92</xdr:row>
      <xdr:rowOff>1</xdr:rowOff>
    </xdr:from>
    <xdr:to>
      <xdr:col>17</xdr:col>
      <xdr:colOff>3485719</xdr:colOff>
      <xdr:row>100</xdr:row>
      <xdr:rowOff>8287</xdr:rowOff>
    </xdr:to>
    <xdr:pic>
      <xdr:nvPicPr>
        <xdr:cNvPr id="8" name="Picture 7">
          <a:extLst>
            <a:ext uri="{FF2B5EF4-FFF2-40B4-BE49-F238E27FC236}">
              <a16:creationId xmlns:a16="http://schemas.microsoft.com/office/drawing/2014/main" id="{00000000-0008-0000-1100-000008000000}"/>
            </a:ext>
          </a:extLst>
        </xdr:cNvPr>
        <xdr:cNvPicPr>
          <a:picLocks noChangeAspect="1"/>
        </xdr:cNvPicPr>
      </xdr:nvPicPr>
      <xdr:blipFill>
        <a:blip xmlns:r="http://schemas.openxmlformats.org/officeDocument/2006/relationships" r:embed="rId7"/>
        <a:stretch>
          <a:fillRect/>
        </a:stretch>
      </xdr:blipFill>
      <xdr:spPr>
        <a:xfrm>
          <a:off x="68438712" y="15163801"/>
          <a:ext cx="3446032" cy="1532286"/>
        </a:xfrm>
        <a:prstGeom prst="rect">
          <a:avLst/>
        </a:prstGeom>
      </xdr:spPr>
    </xdr:pic>
    <xdr:clientData/>
  </xdr:twoCellAnchor>
  <xdr:twoCellAnchor editAs="oneCell">
    <xdr:from>
      <xdr:col>17</xdr:col>
      <xdr:colOff>17463</xdr:colOff>
      <xdr:row>110</xdr:row>
      <xdr:rowOff>152400</xdr:rowOff>
    </xdr:from>
    <xdr:to>
      <xdr:col>18</xdr:col>
      <xdr:colOff>574674</xdr:colOff>
      <xdr:row>123</xdr:row>
      <xdr:rowOff>184476</xdr:rowOff>
    </xdr:to>
    <xdr:pic>
      <xdr:nvPicPr>
        <xdr:cNvPr id="9" name="Picture 8">
          <a:extLst>
            <a:ext uri="{FF2B5EF4-FFF2-40B4-BE49-F238E27FC236}">
              <a16:creationId xmlns:a16="http://schemas.microsoft.com/office/drawing/2014/main" id="{00000000-0008-0000-1100-000009000000}"/>
            </a:ext>
          </a:extLst>
        </xdr:cNvPr>
        <xdr:cNvPicPr>
          <a:picLocks noChangeAspect="1"/>
        </xdr:cNvPicPr>
      </xdr:nvPicPr>
      <xdr:blipFill>
        <a:blip xmlns:r="http://schemas.openxmlformats.org/officeDocument/2006/relationships" r:embed="rId8"/>
        <a:stretch>
          <a:fillRect/>
        </a:stretch>
      </xdr:blipFill>
      <xdr:spPr>
        <a:xfrm>
          <a:off x="68416488" y="18840450"/>
          <a:ext cx="5005386" cy="2508576"/>
        </a:xfrm>
        <a:prstGeom prst="rect">
          <a:avLst/>
        </a:prstGeom>
      </xdr:spPr>
    </xdr:pic>
    <xdr:clientData/>
  </xdr:twoCellAnchor>
  <xdr:twoCellAnchor editAs="oneCell">
    <xdr:from>
      <xdr:col>17</xdr:col>
      <xdr:colOff>0</xdr:colOff>
      <xdr:row>103</xdr:row>
      <xdr:rowOff>190499</xdr:rowOff>
    </xdr:from>
    <xdr:to>
      <xdr:col>17</xdr:col>
      <xdr:colOff>3642811</xdr:colOff>
      <xdr:row>105</xdr:row>
      <xdr:rowOff>119062</xdr:rowOff>
    </xdr:to>
    <xdr:pic>
      <xdr:nvPicPr>
        <xdr:cNvPr id="10" name="Picture 9">
          <a:extLst>
            <a:ext uri="{FF2B5EF4-FFF2-40B4-BE49-F238E27FC236}">
              <a16:creationId xmlns:a16="http://schemas.microsoft.com/office/drawing/2014/main" id="{00000000-0008-0000-1100-00000A000000}"/>
            </a:ext>
          </a:extLst>
        </xdr:cNvPr>
        <xdr:cNvPicPr>
          <a:picLocks noChangeAspect="1"/>
        </xdr:cNvPicPr>
      </xdr:nvPicPr>
      <xdr:blipFill>
        <a:blip xmlns:r="http://schemas.openxmlformats.org/officeDocument/2006/relationships" r:embed="rId9"/>
        <a:stretch>
          <a:fillRect/>
        </a:stretch>
      </xdr:blipFill>
      <xdr:spPr>
        <a:xfrm>
          <a:off x="68399025" y="17545049"/>
          <a:ext cx="3642811" cy="309563"/>
        </a:xfrm>
        <a:prstGeom prst="rect">
          <a:avLst/>
        </a:prstGeom>
      </xdr:spPr>
    </xdr:pic>
    <xdr:clientData/>
  </xdr:twoCellAnchor>
  <xdr:twoCellAnchor editAs="oneCell">
    <xdr:from>
      <xdr:col>20</xdr:col>
      <xdr:colOff>1</xdr:colOff>
      <xdr:row>110</xdr:row>
      <xdr:rowOff>0</xdr:rowOff>
    </xdr:from>
    <xdr:to>
      <xdr:col>21</xdr:col>
      <xdr:colOff>350839</xdr:colOff>
      <xdr:row>123</xdr:row>
      <xdr:rowOff>47003</xdr:rowOff>
    </xdr:to>
    <xdr:pic>
      <xdr:nvPicPr>
        <xdr:cNvPr id="11" name="Picture 10">
          <a:extLst>
            <a:ext uri="{FF2B5EF4-FFF2-40B4-BE49-F238E27FC236}">
              <a16:creationId xmlns:a16="http://schemas.microsoft.com/office/drawing/2014/main" id="{00000000-0008-0000-1100-00000B000000}"/>
            </a:ext>
          </a:extLst>
        </xdr:cNvPr>
        <xdr:cNvPicPr>
          <a:picLocks noChangeAspect="1"/>
        </xdr:cNvPicPr>
      </xdr:nvPicPr>
      <xdr:blipFill>
        <a:blip xmlns:r="http://schemas.openxmlformats.org/officeDocument/2006/relationships" r:embed="rId10"/>
        <a:stretch>
          <a:fillRect/>
        </a:stretch>
      </xdr:blipFill>
      <xdr:spPr>
        <a:xfrm>
          <a:off x="77238226" y="18688050"/>
          <a:ext cx="4799013" cy="2523503"/>
        </a:xfrm>
        <a:prstGeom prst="rect">
          <a:avLst/>
        </a:prstGeom>
      </xdr:spPr>
    </xdr:pic>
    <xdr:clientData/>
  </xdr:twoCellAnchor>
  <xdr:twoCellAnchor editAs="oneCell">
    <xdr:from>
      <xdr:col>20</xdr:col>
      <xdr:colOff>0</xdr:colOff>
      <xdr:row>104</xdr:row>
      <xdr:rowOff>0</xdr:rowOff>
    </xdr:from>
    <xdr:to>
      <xdr:col>20</xdr:col>
      <xdr:colOff>2474567</xdr:colOff>
      <xdr:row>105</xdr:row>
      <xdr:rowOff>134938</xdr:rowOff>
    </xdr:to>
    <xdr:pic>
      <xdr:nvPicPr>
        <xdr:cNvPr id="12" name="Picture 11">
          <a:extLst>
            <a:ext uri="{FF2B5EF4-FFF2-40B4-BE49-F238E27FC236}">
              <a16:creationId xmlns:a16="http://schemas.microsoft.com/office/drawing/2014/main" id="{00000000-0008-0000-1100-00000C000000}"/>
            </a:ext>
          </a:extLst>
        </xdr:cNvPr>
        <xdr:cNvPicPr>
          <a:picLocks noChangeAspect="1"/>
        </xdr:cNvPicPr>
      </xdr:nvPicPr>
      <xdr:blipFill>
        <a:blip xmlns:r="http://schemas.openxmlformats.org/officeDocument/2006/relationships" r:embed="rId11"/>
        <a:stretch>
          <a:fillRect/>
        </a:stretch>
      </xdr:blipFill>
      <xdr:spPr>
        <a:xfrm>
          <a:off x="77238225" y="17545050"/>
          <a:ext cx="2474567" cy="325438"/>
        </a:xfrm>
        <a:prstGeom prst="rect">
          <a:avLst/>
        </a:prstGeom>
      </xdr:spPr>
    </xdr:pic>
    <xdr:clientData/>
  </xdr:twoCellAnchor>
  <xdr:twoCellAnchor editAs="oneCell">
    <xdr:from>
      <xdr:col>20</xdr:col>
      <xdr:colOff>11906</xdr:colOff>
      <xdr:row>132</xdr:row>
      <xdr:rowOff>71437</xdr:rowOff>
    </xdr:from>
    <xdr:to>
      <xdr:col>21</xdr:col>
      <xdr:colOff>1173256</xdr:colOff>
      <xdr:row>148</xdr:row>
      <xdr:rowOff>175818</xdr:rowOff>
    </xdr:to>
    <xdr:pic>
      <xdr:nvPicPr>
        <xdr:cNvPr id="13" name="Picture 12">
          <a:extLst>
            <a:ext uri="{FF2B5EF4-FFF2-40B4-BE49-F238E27FC236}">
              <a16:creationId xmlns:a16="http://schemas.microsoft.com/office/drawing/2014/main" id="{00000000-0008-0000-1100-00000D000000}"/>
            </a:ext>
          </a:extLst>
        </xdr:cNvPr>
        <xdr:cNvPicPr>
          <a:picLocks noChangeAspect="1"/>
        </xdr:cNvPicPr>
      </xdr:nvPicPr>
      <xdr:blipFill>
        <a:blip xmlns:r="http://schemas.openxmlformats.org/officeDocument/2006/relationships" r:embed="rId12"/>
        <a:stretch>
          <a:fillRect/>
        </a:stretch>
      </xdr:blipFill>
      <xdr:spPr>
        <a:xfrm>
          <a:off x="77250131" y="22950487"/>
          <a:ext cx="5609525" cy="3152381"/>
        </a:xfrm>
        <a:prstGeom prst="rect">
          <a:avLst/>
        </a:prstGeom>
      </xdr:spPr>
    </xdr:pic>
    <xdr:clientData/>
  </xdr:twoCellAnchor>
  <xdr:twoCellAnchor editAs="oneCell">
    <xdr:from>
      <xdr:col>2</xdr:col>
      <xdr:colOff>1947332</xdr:colOff>
      <xdr:row>115</xdr:row>
      <xdr:rowOff>63500</xdr:rowOff>
    </xdr:from>
    <xdr:to>
      <xdr:col>4</xdr:col>
      <xdr:colOff>473488</xdr:colOff>
      <xdr:row>117</xdr:row>
      <xdr:rowOff>15833</xdr:rowOff>
    </xdr:to>
    <xdr:pic>
      <xdr:nvPicPr>
        <xdr:cNvPr id="14" name="Picture 13">
          <a:extLst>
            <a:ext uri="{FF2B5EF4-FFF2-40B4-BE49-F238E27FC236}">
              <a16:creationId xmlns:a16="http://schemas.microsoft.com/office/drawing/2014/main" id="{00000000-0008-0000-1100-00000E000000}"/>
            </a:ext>
          </a:extLst>
        </xdr:cNvPr>
        <xdr:cNvPicPr>
          <a:picLocks noChangeAspect="1"/>
        </xdr:cNvPicPr>
      </xdr:nvPicPr>
      <xdr:blipFill>
        <a:blip xmlns:r="http://schemas.openxmlformats.org/officeDocument/2006/relationships" r:embed="rId13"/>
        <a:stretch>
          <a:fillRect/>
        </a:stretch>
      </xdr:blipFill>
      <xdr:spPr>
        <a:xfrm>
          <a:off x="2661707" y="19704050"/>
          <a:ext cx="5155556" cy="333333"/>
        </a:xfrm>
        <a:prstGeom prst="rect">
          <a:avLst/>
        </a:prstGeom>
      </xdr:spPr>
    </xdr:pic>
    <xdr:clientData/>
  </xdr:twoCellAnchor>
  <xdr:twoCellAnchor editAs="oneCell">
    <xdr:from>
      <xdr:col>17</xdr:col>
      <xdr:colOff>0</xdr:colOff>
      <xdr:row>138</xdr:row>
      <xdr:rowOff>190499</xdr:rowOff>
    </xdr:from>
    <xdr:to>
      <xdr:col>17</xdr:col>
      <xdr:colOff>2618901</xdr:colOff>
      <xdr:row>140</xdr:row>
      <xdr:rowOff>180974</xdr:rowOff>
    </xdr:to>
    <xdr:pic>
      <xdr:nvPicPr>
        <xdr:cNvPr id="15" name="Picture 14">
          <a:extLst>
            <a:ext uri="{FF2B5EF4-FFF2-40B4-BE49-F238E27FC236}">
              <a16:creationId xmlns:a16="http://schemas.microsoft.com/office/drawing/2014/main" id="{00000000-0008-0000-1100-00000F000000}"/>
            </a:ext>
          </a:extLst>
        </xdr:cNvPr>
        <xdr:cNvPicPr>
          <a:picLocks noChangeAspect="1"/>
        </xdr:cNvPicPr>
      </xdr:nvPicPr>
      <xdr:blipFill>
        <a:blip xmlns:r="http://schemas.openxmlformats.org/officeDocument/2006/relationships" r:embed="rId14"/>
        <a:stretch>
          <a:fillRect/>
        </a:stretch>
      </xdr:blipFill>
      <xdr:spPr>
        <a:xfrm>
          <a:off x="68399025" y="24212549"/>
          <a:ext cx="2618901" cy="371475"/>
        </a:xfrm>
        <a:prstGeom prst="rect">
          <a:avLst/>
        </a:prstGeom>
      </xdr:spPr>
    </xdr:pic>
    <xdr:clientData/>
  </xdr:twoCellAnchor>
  <xdr:twoCellAnchor editAs="oneCell">
    <xdr:from>
      <xdr:col>19</xdr:col>
      <xdr:colOff>2143125</xdr:colOff>
      <xdr:row>154</xdr:row>
      <xdr:rowOff>9525</xdr:rowOff>
    </xdr:from>
    <xdr:to>
      <xdr:col>21</xdr:col>
      <xdr:colOff>865823</xdr:colOff>
      <xdr:row>154</xdr:row>
      <xdr:rowOff>180954</xdr:rowOff>
    </xdr:to>
    <xdr:pic>
      <xdr:nvPicPr>
        <xdr:cNvPr id="16" name="Picture 15">
          <a:extLst>
            <a:ext uri="{FF2B5EF4-FFF2-40B4-BE49-F238E27FC236}">
              <a16:creationId xmlns:a16="http://schemas.microsoft.com/office/drawing/2014/main" id="{00000000-0008-0000-1100-000010000000}"/>
            </a:ext>
          </a:extLst>
        </xdr:cNvPr>
        <xdr:cNvPicPr>
          <a:picLocks noChangeAspect="1"/>
        </xdr:cNvPicPr>
      </xdr:nvPicPr>
      <xdr:blipFill>
        <a:blip xmlns:r="http://schemas.openxmlformats.org/officeDocument/2006/relationships" r:embed="rId15"/>
        <a:stretch>
          <a:fillRect/>
        </a:stretch>
      </xdr:blipFill>
      <xdr:spPr>
        <a:xfrm>
          <a:off x="77200125" y="27079575"/>
          <a:ext cx="7619048" cy="171429"/>
        </a:xfrm>
        <a:prstGeom prst="rect">
          <a:avLst/>
        </a:prstGeom>
      </xdr:spPr>
    </xdr:pic>
    <xdr:clientData/>
  </xdr:twoCellAnchor>
  <xdr:twoCellAnchor editAs="oneCell">
    <xdr:from>
      <xdr:col>20</xdr:col>
      <xdr:colOff>0</xdr:colOff>
      <xdr:row>157</xdr:row>
      <xdr:rowOff>0</xdr:rowOff>
    </xdr:from>
    <xdr:to>
      <xdr:col>21</xdr:col>
      <xdr:colOff>1208968</xdr:colOff>
      <xdr:row>172</xdr:row>
      <xdr:rowOff>85357</xdr:rowOff>
    </xdr:to>
    <xdr:pic>
      <xdr:nvPicPr>
        <xdr:cNvPr id="17" name="Picture 16">
          <a:extLst>
            <a:ext uri="{FF2B5EF4-FFF2-40B4-BE49-F238E27FC236}">
              <a16:creationId xmlns:a16="http://schemas.microsoft.com/office/drawing/2014/main" id="{00000000-0008-0000-1100-000011000000}"/>
            </a:ext>
          </a:extLst>
        </xdr:cNvPr>
        <xdr:cNvPicPr>
          <a:picLocks noChangeAspect="1"/>
        </xdr:cNvPicPr>
      </xdr:nvPicPr>
      <xdr:blipFill>
        <a:blip xmlns:r="http://schemas.openxmlformats.org/officeDocument/2006/relationships" r:embed="rId16"/>
        <a:stretch>
          <a:fillRect/>
        </a:stretch>
      </xdr:blipFill>
      <xdr:spPr>
        <a:xfrm>
          <a:off x="77238225" y="27641550"/>
          <a:ext cx="5657143" cy="2942857"/>
        </a:xfrm>
        <a:prstGeom prst="rect">
          <a:avLst/>
        </a:prstGeom>
      </xdr:spPr>
    </xdr:pic>
    <xdr:clientData/>
  </xdr:twoCellAnchor>
  <xdr:twoCellAnchor editAs="oneCell">
    <xdr:from>
      <xdr:col>5</xdr:col>
      <xdr:colOff>57150</xdr:colOff>
      <xdr:row>108</xdr:row>
      <xdr:rowOff>142875</xdr:rowOff>
    </xdr:from>
    <xdr:to>
      <xdr:col>6</xdr:col>
      <xdr:colOff>930029</xdr:colOff>
      <xdr:row>124</xdr:row>
      <xdr:rowOff>86595</xdr:rowOff>
    </xdr:to>
    <xdr:pic>
      <xdr:nvPicPr>
        <xdr:cNvPr id="20" name="Picture 19">
          <a:extLst>
            <a:ext uri="{FF2B5EF4-FFF2-40B4-BE49-F238E27FC236}">
              <a16:creationId xmlns:a16="http://schemas.microsoft.com/office/drawing/2014/main" id="{00000000-0008-0000-1100-000014000000}"/>
            </a:ext>
          </a:extLst>
        </xdr:cNvPr>
        <xdr:cNvPicPr>
          <a:picLocks noChangeAspect="1"/>
        </xdr:cNvPicPr>
      </xdr:nvPicPr>
      <xdr:blipFill>
        <a:blip xmlns:r="http://schemas.openxmlformats.org/officeDocument/2006/relationships" r:embed="rId12"/>
        <a:stretch>
          <a:fillRect/>
        </a:stretch>
      </xdr:blipFill>
      <xdr:spPr>
        <a:xfrm>
          <a:off x="14077950" y="22793325"/>
          <a:ext cx="5321054" cy="299172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9</xdr:col>
      <xdr:colOff>1362075</xdr:colOff>
      <xdr:row>40</xdr:row>
      <xdr:rowOff>180975</xdr:rowOff>
    </xdr:from>
    <xdr:to>
      <xdr:col>12</xdr:col>
      <xdr:colOff>299069</xdr:colOff>
      <xdr:row>44</xdr:row>
      <xdr:rowOff>180975</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18154650" y="9229725"/>
          <a:ext cx="3080369" cy="428625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16</xdr:col>
      <xdr:colOff>325841</xdr:colOff>
      <xdr:row>29</xdr:row>
      <xdr:rowOff>18405</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609600" y="190500"/>
          <a:ext cx="9457143" cy="5161905"/>
        </a:xfrm>
        <a:prstGeom prst="rect">
          <a:avLst/>
        </a:prstGeom>
      </xdr:spPr>
    </xdr:pic>
    <xdr:clientData/>
  </xdr:twoCellAnchor>
  <xdr:twoCellAnchor editAs="oneCell">
    <xdr:from>
      <xdr:col>1</xdr:col>
      <xdr:colOff>0</xdr:colOff>
      <xdr:row>2</xdr:row>
      <xdr:rowOff>0</xdr:rowOff>
    </xdr:from>
    <xdr:to>
      <xdr:col>16</xdr:col>
      <xdr:colOff>321581</xdr:colOff>
      <xdr:row>29</xdr:row>
      <xdr:rowOff>19050</xdr:rowOff>
    </xdr:to>
    <xdr:pic>
      <xdr:nvPicPr>
        <xdr:cNvPr id="4" name="Picture 3">
          <a:extLst>
            <a:ext uri="{FF2B5EF4-FFF2-40B4-BE49-F238E27FC236}">
              <a16:creationId xmlns:a16="http://schemas.microsoft.com/office/drawing/2014/main" id="{00000000-0008-0000-01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09600" y="190500"/>
          <a:ext cx="9458325" cy="5162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371475</xdr:colOff>
      <xdr:row>19</xdr:row>
      <xdr:rowOff>38100</xdr:rowOff>
    </xdr:from>
    <xdr:to>
      <xdr:col>29</xdr:col>
      <xdr:colOff>54990</xdr:colOff>
      <xdr:row>22</xdr:row>
      <xdr:rowOff>93811</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3"/>
        <a:stretch>
          <a:fillRect/>
        </a:stretch>
      </xdr:blipFill>
      <xdr:spPr>
        <a:xfrm>
          <a:off x="11344275" y="3467100"/>
          <a:ext cx="6380952" cy="619048"/>
        </a:xfrm>
        <a:prstGeom prst="rect">
          <a:avLst/>
        </a:prstGeom>
      </xdr:spPr>
    </xdr:pic>
    <xdr:clientData/>
  </xdr:twoCellAnchor>
  <xdr:twoCellAnchor editAs="oneCell">
    <xdr:from>
      <xdr:col>18</xdr:col>
      <xdr:colOff>295275</xdr:colOff>
      <xdr:row>36</xdr:row>
      <xdr:rowOff>57150</xdr:rowOff>
    </xdr:from>
    <xdr:to>
      <xdr:col>28</xdr:col>
      <xdr:colOff>552110</xdr:colOff>
      <xdr:row>39</xdr:row>
      <xdr:rowOff>131908</xdr:rowOff>
    </xdr:to>
    <xdr:pic>
      <xdr:nvPicPr>
        <xdr:cNvPr id="9" name="Pictur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4"/>
        <a:stretch>
          <a:fillRect/>
        </a:stretch>
      </xdr:blipFill>
      <xdr:spPr>
        <a:xfrm>
          <a:off x="11268075" y="6724650"/>
          <a:ext cx="6361905" cy="638095"/>
        </a:xfrm>
        <a:prstGeom prst="rect">
          <a:avLst/>
        </a:prstGeom>
      </xdr:spPr>
    </xdr:pic>
    <xdr:clientData/>
  </xdr:twoCellAnchor>
  <xdr:twoCellAnchor editAs="oneCell">
    <xdr:from>
      <xdr:col>18</xdr:col>
      <xdr:colOff>342900</xdr:colOff>
      <xdr:row>57</xdr:row>
      <xdr:rowOff>0</xdr:rowOff>
    </xdr:from>
    <xdr:to>
      <xdr:col>29</xdr:col>
      <xdr:colOff>17688</xdr:colOff>
      <xdr:row>63</xdr:row>
      <xdr:rowOff>57150</xdr:rowOff>
    </xdr:to>
    <xdr:pic>
      <xdr:nvPicPr>
        <xdr:cNvPr id="21" name="Picture 20">
          <a:extLst>
            <a:ext uri="{FF2B5EF4-FFF2-40B4-BE49-F238E27FC236}">
              <a16:creationId xmlns:a16="http://schemas.microsoft.com/office/drawing/2014/main" id="{00000000-0008-0000-0100-000015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1315700" y="10668000"/>
          <a:ext cx="6372225" cy="1200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581025</xdr:colOff>
      <xdr:row>113</xdr:row>
      <xdr:rowOff>0</xdr:rowOff>
    </xdr:from>
    <xdr:to>
      <xdr:col>29</xdr:col>
      <xdr:colOff>284388</xdr:colOff>
      <xdr:row>119</xdr:row>
      <xdr:rowOff>0</xdr:rowOff>
    </xdr:to>
    <xdr:pic>
      <xdr:nvPicPr>
        <xdr:cNvPr id="24" name="Picture 23">
          <a:extLst>
            <a:ext uri="{FF2B5EF4-FFF2-40B4-BE49-F238E27FC236}">
              <a16:creationId xmlns:a16="http://schemas.microsoft.com/office/drawing/2014/main" id="{00000000-0008-0000-0100-00001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1553825" y="21526500"/>
          <a:ext cx="640080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1</xdr:colOff>
      <xdr:row>119</xdr:row>
      <xdr:rowOff>142876</xdr:rowOff>
    </xdr:from>
    <xdr:to>
      <xdr:col>29</xdr:col>
      <xdr:colOff>19051</xdr:colOff>
      <xdr:row>130</xdr:row>
      <xdr:rowOff>173174</xdr:rowOff>
    </xdr:to>
    <xdr:pic>
      <xdr:nvPicPr>
        <xdr:cNvPr id="25" name="Picture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7"/>
        <a:stretch>
          <a:fillRect/>
        </a:stretch>
      </xdr:blipFill>
      <xdr:spPr>
        <a:xfrm>
          <a:off x="12192001" y="22812376"/>
          <a:ext cx="5505450" cy="2130333"/>
        </a:xfrm>
        <a:prstGeom prst="rect">
          <a:avLst/>
        </a:prstGeom>
      </xdr:spPr>
    </xdr:pic>
    <xdr:clientData/>
  </xdr:twoCellAnchor>
  <xdr:twoCellAnchor editAs="oneCell">
    <xdr:from>
      <xdr:col>18</xdr:col>
      <xdr:colOff>600075</xdr:colOff>
      <xdr:row>132</xdr:row>
      <xdr:rowOff>0</xdr:rowOff>
    </xdr:from>
    <xdr:to>
      <xdr:col>29</xdr:col>
      <xdr:colOff>287112</xdr:colOff>
      <xdr:row>134</xdr:row>
      <xdr:rowOff>381000</xdr:rowOff>
    </xdr:to>
    <xdr:pic>
      <xdr:nvPicPr>
        <xdr:cNvPr id="26" name="Picture 25">
          <a:extLst>
            <a:ext uri="{FF2B5EF4-FFF2-40B4-BE49-F238E27FC236}">
              <a16:creationId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1572875" y="25146000"/>
          <a:ext cx="6400800" cy="762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19050</xdr:colOff>
      <xdr:row>136</xdr:row>
      <xdr:rowOff>123826</xdr:rowOff>
    </xdr:from>
    <xdr:to>
      <xdr:col>29</xdr:col>
      <xdr:colOff>93888</xdr:colOff>
      <xdr:row>144</xdr:row>
      <xdr:rowOff>16760</xdr:rowOff>
    </xdr:to>
    <xdr:pic>
      <xdr:nvPicPr>
        <xdr:cNvPr id="27" name="Picture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9"/>
        <a:stretch>
          <a:fillRect/>
        </a:stretch>
      </xdr:blipFill>
      <xdr:spPr>
        <a:xfrm>
          <a:off x="12211050" y="26031826"/>
          <a:ext cx="5553075" cy="1421924"/>
        </a:xfrm>
        <a:prstGeom prst="rect">
          <a:avLst/>
        </a:prstGeom>
      </xdr:spPr>
    </xdr:pic>
    <xdr:clientData/>
  </xdr:twoCellAnchor>
  <xdr:twoCellAnchor editAs="oneCell">
    <xdr:from>
      <xdr:col>19</xdr:col>
      <xdr:colOff>0</xdr:colOff>
      <xdr:row>151</xdr:row>
      <xdr:rowOff>57150</xdr:rowOff>
    </xdr:from>
    <xdr:to>
      <xdr:col>32</xdr:col>
      <xdr:colOff>266700</xdr:colOff>
      <xdr:row>160</xdr:row>
      <xdr:rowOff>170441</xdr:rowOff>
    </xdr:to>
    <xdr:pic>
      <xdr:nvPicPr>
        <xdr:cNvPr id="29" name="Picture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10"/>
        <a:stretch>
          <a:fillRect/>
        </a:stretch>
      </xdr:blipFill>
      <xdr:spPr>
        <a:xfrm>
          <a:off x="11582400" y="28936950"/>
          <a:ext cx="7934325" cy="1836861"/>
        </a:xfrm>
        <a:prstGeom prst="rect">
          <a:avLst/>
        </a:prstGeom>
      </xdr:spPr>
    </xdr:pic>
    <xdr:clientData/>
  </xdr:twoCellAnchor>
  <xdr:twoCellAnchor editAs="oneCell">
    <xdr:from>
      <xdr:col>1</xdr:col>
      <xdr:colOff>571500</xdr:colOff>
      <xdr:row>96</xdr:row>
      <xdr:rowOff>133350</xdr:rowOff>
    </xdr:from>
    <xdr:to>
      <xdr:col>13</xdr:col>
      <xdr:colOff>591912</xdr:colOff>
      <xdr:row>103</xdr:row>
      <xdr:rowOff>21034</xdr:rowOff>
    </xdr:to>
    <xdr:pic>
      <xdr:nvPicPr>
        <xdr:cNvPr id="32" name="Picture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11"/>
        <a:stretch>
          <a:fillRect/>
        </a:stretch>
      </xdr:blipFill>
      <xdr:spPr>
        <a:xfrm>
          <a:off x="1181100" y="18421350"/>
          <a:ext cx="7343775" cy="1526436"/>
        </a:xfrm>
        <a:prstGeom prst="rect">
          <a:avLst/>
        </a:prstGeom>
      </xdr:spPr>
    </xdr:pic>
    <xdr:clientData/>
  </xdr:twoCellAnchor>
  <xdr:twoCellAnchor editAs="oneCell">
    <xdr:from>
      <xdr:col>1</xdr:col>
      <xdr:colOff>600076</xdr:colOff>
      <xdr:row>116</xdr:row>
      <xdr:rowOff>76200</xdr:rowOff>
    </xdr:from>
    <xdr:to>
      <xdr:col>13</xdr:col>
      <xdr:colOff>551543</xdr:colOff>
      <xdr:row>124</xdr:row>
      <xdr:rowOff>97603</xdr:rowOff>
    </xdr:to>
    <xdr:pic>
      <xdr:nvPicPr>
        <xdr:cNvPr id="34" name="Picture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12"/>
        <a:stretch>
          <a:fillRect/>
        </a:stretch>
      </xdr:blipFill>
      <xdr:spPr>
        <a:xfrm>
          <a:off x="1209676" y="22174200"/>
          <a:ext cx="7267574" cy="1545403"/>
        </a:xfrm>
        <a:prstGeom prst="rect">
          <a:avLst/>
        </a:prstGeom>
      </xdr:spPr>
    </xdr:pic>
    <xdr:clientData/>
  </xdr:twoCellAnchor>
  <xdr:twoCellAnchor editAs="oneCell">
    <xdr:from>
      <xdr:col>18</xdr:col>
      <xdr:colOff>590551</xdr:colOff>
      <xdr:row>198</xdr:row>
      <xdr:rowOff>95250</xdr:rowOff>
    </xdr:from>
    <xdr:to>
      <xdr:col>33</xdr:col>
      <xdr:colOff>57151</xdr:colOff>
      <xdr:row>218</xdr:row>
      <xdr:rowOff>18643</xdr:rowOff>
    </xdr:to>
    <xdr:pic>
      <xdr:nvPicPr>
        <xdr:cNvPr id="36" name="Picture 35">
          <a:extLst>
            <a:ext uri="{FF2B5EF4-FFF2-40B4-BE49-F238E27FC236}">
              <a16:creationId xmlns:a16="http://schemas.microsoft.com/office/drawing/2014/main" id="{00000000-0008-0000-0100-000024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1563351" y="37928550"/>
          <a:ext cx="8591550" cy="37388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9526</xdr:colOff>
      <xdr:row>2</xdr:row>
      <xdr:rowOff>0</xdr:rowOff>
    </xdr:from>
    <xdr:to>
      <xdr:col>29</xdr:col>
      <xdr:colOff>17689</xdr:colOff>
      <xdr:row>18</xdr:row>
      <xdr:rowOff>57186</xdr:rowOff>
    </xdr:to>
    <xdr:pic>
      <xdr:nvPicPr>
        <xdr:cNvPr id="38" name="Picture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14"/>
        <a:stretch>
          <a:fillRect/>
        </a:stretch>
      </xdr:blipFill>
      <xdr:spPr>
        <a:xfrm>
          <a:off x="12201526" y="190500"/>
          <a:ext cx="5486400" cy="3093395"/>
        </a:xfrm>
        <a:prstGeom prst="rect">
          <a:avLst/>
        </a:prstGeom>
      </xdr:spPr>
    </xdr:pic>
    <xdr:clientData/>
  </xdr:twoCellAnchor>
  <xdr:twoCellAnchor editAs="oneCell">
    <xdr:from>
      <xdr:col>20</xdr:col>
      <xdr:colOff>19050</xdr:colOff>
      <xdr:row>23</xdr:row>
      <xdr:rowOff>0</xdr:rowOff>
    </xdr:from>
    <xdr:to>
      <xdr:col>29</xdr:col>
      <xdr:colOff>17688</xdr:colOff>
      <xdr:row>35</xdr:row>
      <xdr:rowOff>58429</xdr:rowOff>
    </xdr:to>
    <xdr:pic>
      <xdr:nvPicPr>
        <xdr:cNvPr id="40" name="Picture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15"/>
        <a:stretch>
          <a:fillRect/>
        </a:stretch>
      </xdr:blipFill>
      <xdr:spPr>
        <a:xfrm>
          <a:off x="12211050" y="4191000"/>
          <a:ext cx="5476875" cy="2335359"/>
        </a:xfrm>
        <a:prstGeom prst="rect">
          <a:avLst/>
        </a:prstGeom>
      </xdr:spPr>
    </xdr:pic>
    <xdr:clientData/>
  </xdr:twoCellAnchor>
  <xdr:twoCellAnchor editAs="oneCell">
    <xdr:from>
      <xdr:col>19</xdr:col>
      <xdr:colOff>0</xdr:colOff>
      <xdr:row>219</xdr:row>
      <xdr:rowOff>57151</xdr:rowOff>
    </xdr:from>
    <xdr:to>
      <xdr:col>33</xdr:col>
      <xdr:colOff>55788</xdr:colOff>
      <xdr:row>237</xdr:row>
      <xdr:rowOff>170558</xdr:rowOff>
    </xdr:to>
    <xdr:pic>
      <xdr:nvPicPr>
        <xdr:cNvPr id="43" name="Picture 42">
          <a:extLst>
            <a:ext uri="{FF2B5EF4-FFF2-40B4-BE49-F238E27FC236}">
              <a16:creationId xmlns:a16="http://schemas.microsoft.com/office/drawing/2014/main" id="{00000000-0008-0000-0100-00002B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11582400" y="41890951"/>
          <a:ext cx="8562975" cy="36834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0</xdr:colOff>
      <xdr:row>39</xdr:row>
      <xdr:rowOff>180975</xdr:rowOff>
    </xdr:from>
    <xdr:to>
      <xdr:col>29</xdr:col>
      <xdr:colOff>17688</xdr:colOff>
      <xdr:row>56</xdr:row>
      <xdr:rowOff>96612</xdr:rowOff>
    </xdr:to>
    <xdr:pic>
      <xdr:nvPicPr>
        <xdr:cNvPr id="44" name="Picture 43">
          <a:extLst>
            <a:ext uri="{FF2B5EF4-FFF2-40B4-BE49-F238E27FC236}">
              <a16:creationId xmlns:a16="http://schemas.microsoft.com/office/drawing/2014/main" id="{00000000-0008-0000-0100-00002C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2192000" y="7419975"/>
          <a:ext cx="5495925" cy="3162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600075</xdr:colOff>
      <xdr:row>96</xdr:row>
      <xdr:rowOff>28575</xdr:rowOff>
    </xdr:from>
    <xdr:to>
      <xdr:col>29</xdr:col>
      <xdr:colOff>55788</xdr:colOff>
      <xdr:row>110</xdr:row>
      <xdr:rowOff>19050</xdr:rowOff>
    </xdr:to>
    <xdr:pic>
      <xdr:nvPicPr>
        <xdr:cNvPr id="45" name="Picture 44">
          <a:extLst>
            <a:ext uri="{FF2B5EF4-FFF2-40B4-BE49-F238E27FC236}">
              <a16:creationId xmlns:a16="http://schemas.microsoft.com/office/drawing/2014/main" id="{00000000-0008-0000-0100-00002D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2182475" y="18316575"/>
          <a:ext cx="5543550" cy="3028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30</xdr:col>
      <xdr:colOff>19051</xdr:colOff>
      <xdr:row>5</xdr:row>
      <xdr:rowOff>180975</xdr:rowOff>
    </xdr:from>
    <xdr:to>
      <xdr:col>38</xdr:col>
      <xdr:colOff>1049113</xdr:colOff>
      <xdr:row>26</xdr:row>
      <xdr:rowOff>21017</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9"/>
        <a:stretch>
          <a:fillRect/>
        </a:stretch>
      </xdr:blipFill>
      <xdr:spPr>
        <a:xfrm>
          <a:off x="18307051" y="942975"/>
          <a:ext cx="6686550" cy="3852333"/>
        </a:xfrm>
        <a:prstGeom prst="rect">
          <a:avLst/>
        </a:prstGeom>
      </xdr:spPr>
    </xdr:pic>
    <xdr:clientData/>
  </xdr:twoCellAnchor>
  <xdr:twoCellAnchor editAs="oneCell">
    <xdr:from>
      <xdr:col>1</xdr:col>
      <xdr:colOff>466725</xdr:colOff>
      <xdr:row>47</xdr:row>
      <xdr:rowOff>161925</xdr:rowOff>
    </xdr:from>
    <xdr:to>
      <xdr:col>14</xdr:col>
      <xdr:colOff>77794</xdr:colOff>
      <xdr:row>67</xdr:row>
      <xdr:rowOff>131988</xdr:rowOff>
    </xdr:to>
    <xdr:pic>
      <xdr:nvPicPr>
        <xdr:cNvPr id="31" name="Picture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20"/>
        <a:stretch>
          <a:fillRect/>
        </a:stretch>
      </xdr:blipFill>
      <xdr:spPr>
        <a:xfrm>
          <a:off x="1076325" y="8924925"/>
          <a:ext cx="7536776" cy="3771900"/>
        </a:xfrm>
        <a:prstGeom prst="rect">
          <a:avLst/>
        </a:prstGeom>
      </xdr:spPr>
    </xdr:pic>
    <xdr:clientData/>
  </xdr:twoCellAnchor>
  <xdr:twoCellAnchor editAs="oneCell">
    <xdr:from>
      <xdr:col>1</xdr:col>
      <xdr:colOff>600075</xdr:colOff>
      <xdr:row>87</xdr:row>
      <xdr:rowOff>123825</xdr:rowOff>
    </xdr:from>
    <xdr:to>
      <xdr:col>13</xdr:col>
      <xdr:colOff>589643</xdr:colOff>
      <xdr:row>94</xdr:row>
      <xdr:rowOff>190171</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21"/>
        <a:stretch>
          <a:fillRect/>
        </a:stretch>
      </xdr:blipFill>
      <xdr:spPr>
        <a:xfrm>
          <a:off x="1209675" y="16316325"/>
          <a:ext cx="7305675" cy="1780846"/>
        </a:xfrm>
        <a:prstGeom prst="rect">
          <a:avLst/>
        </a:prstGeom>
      </xdr:spPr>
    </xdr:pic>
    <xdr:clientData/>
  </xdr:twoCellAnchor>
  <xdr:twoCellAnchor editAs="oneCell">
    <xdr:from>
      <xdr:col>1</xdr:col>
      <xdr:colOff>552450</xdr:colOff>
      <xdr:row>106</xdr:row>
      <xdr:rowOff>123825</xdr:rowOff>
    </xdr:from>
    <xdr:to>
      <xdr:col>13</xdr:col>
      <xdr:colOff>592411</xdr:colOff>
      <xdr:row>114</xdr:row>
      <xdr:rowOff>170088</xdr:rowOff>
    </xdr:to>
    <xdr:pic>
      <xdr:nvPicPr>
        <xdr:cNvPr id="33" name="Picture 32">
          <a:extLst>
            <a:ext uri="{FF2B5EF4-FFF2-40B4-BE49-F238E27FC236}">
              <a16:creationId xmlns:a16="http://schemas.microsoft.com/office/drawing/2014/main" id="{00000000-0008-0000-0100-000021000000}"/>
            </a:ext>
          </a:extLst>
        </xdr:cNvPr>
        <xdr:cNvPicPr>
          <a:picLocks noChangeAspect="1"/>
        </xdr:cNvPicPr>
      </xdr:nvPicPr>
      <xdr:blipFill>
        <a:blip xmlns:r="http://schemas.openxmlformats.org/officeDocument/2006/relationships" r:embed="rId12"/>
        <a:stretch>
          <a:fillRect/>
        </a:stretch>
      </xdr:blipFill>
      <xdr:spPr>
        <a:xfrm>
          <a:off x="1162050" y="20316825"/>
          <a:ext cx="7346091" cy="1562100"/>
        </a:xfrm>
        <a:prstGeom prst="rect">
          <a:avLst/>
        </a:prstGeom>
      </xdr:spPr>
    </xdr:pic>
    <xdr:clientData/>
  </xdr:twoCellAnchor>
  <xdr:twoCellAnchor editAs="oneCell">
    <xdr:from>
      <xdr:col>19</xdr:col>
      <xdr:colOff>1</xdr:colOff>
      <xdr:row>161</xdr:row>
      <xdr:rowOff>95250</xdr:rowOff>
    </xdr:from>
    <xdr:to>
      <xdr:col>33</xdr:col>
      <xdr:colOff>19051</xdr:colOff>
      <xdr:row>177</xdr:row>
      <xdr:rowOff>20113</xdr:rowOff>
    </xdr:to>
    <xdr:pic>
      <xdr:nvPicPr>
        <xdr:cNvPr id="39" name="Picture 38">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22"/>
        <a:stretch>
          <a:fillRect/>
        </a:stretch>
      </xdr:blipFill>
      <xdr:spPr>
        <a:xfrm>
          <a:off x="11582401" y="30880050"/>
          <a:ext cx="8534400" cy="2967421"/>
        </a:xfrm>
        <a:prstGeom prst="rect">
          <a:avLst/>
        </a:prstGeom>
      </xdr:spPr>
    </xdr:pic>
    <xdr:clientData/>
  </xdr:twoCellAnchor>
  <xdr:twoCellAnchor editAs="oneCell">
    <xdr:from>
      <xdr:col>18</xdr:col>
      <xdr:colOff>552450</xdr:colOff>
      <xdr:row>177</xdr:row>
      <xdr:rowOff>180975</xdr:rowOff>
    </xdr:from>
    <xdr:to>
      <xdr:col>32</xdr:col>
      <xdr:colOff>821461</xdr:colOff>
      <xdr:row>198</xdr:row>
      <xdr:rowOff>18492</xdr:rowOff>
    </xdr:to>
    <xdr:pic>
      <xdr:nvPicPr>
        <xdr:cNvPr id="42" name="Picture 41">
          <a:extLst>
            <a:ext uri="{FF2B5EF4-FFF2-40B4-BE49-F238E27FC236}">
              <a16:creationId xmlns:a16="http://schemas.microsoft.com/office/drawing/2014/main" id="{00000000-0008-0000-0100-00002A000000}"/>
            </a:ext>
          </a:extLst>
        </xdr:cNvPr>
        <xdr:cNvPicPr>
          <a:picLocks noChangeAspect="1"/>
        </xdr:cNvPicPr>
      </xdr:nvPicPr>
      <xdr:blipFill>
        <a:blip xmlns:r="http://schemas.openxmlformats.org/officeDocument/2006/relationships" r:embed="rId23"/>
        <a:stretch>
          <a:fillRect/>
        </a:stretch>
      </xdr:blipFill>
      <xdr:spPr>
        <a:xfrm>
          <a:off x="11525250" y="34013775"/>
          <a:ext cx="8559841" cy="3838017"/>
        </a:xfrm>
        <a:prstGeom prst="rect">
          <a:avLst/>
        </a:prstGeom>
      </xdr:spPr>
    </xdr:pic>
    <xdr:clientData/>
  </xdr:twoCellAnchor>
  <xdr:twoCellAnchor editAs="oneCell">
    <xdr:from>
      <xdr:col>2</xdr:col>
      <xdr:colOff>0</xdr:colOff>
      <xdr:row>193</xdr:row>
      <xdr:rowOff>19051</xdr:rowOff>
    </xdr:from>
    <xdr:to>
      <xdr:col>15</xdr:col>
      <xdr:colOff>37193</xdr:colOff>
      <xdr:row>222</xdr:row>
      <xdr:rowOff>132049</xdr:rowOff>
    </xdr:to>
    <xdr:pic>
      <xdr:nvPicPr>
        <xdr:cNvPr id="12" name="Pictur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24"/>
        <a:stretch>
          <a:fillRect/>
        </a:stretch>
      </xdr:blipFill>
      <xdr:spPr>
        <a:xfrm>
          <a:off x="1219200" y="36785551"/>
          <a:ext cx="7962900" cy="5642940"/>
        </a:xfrm>
        <a:prstGeom prst="rect">
          <a:avLst/>
        </a:prstGeom>
      </xdr:spPr>
    </xdr:pic>
    <xdr:clientData/>
  </xdr:twoCellAnchor>
  <xdr:twoCellAnchor editAs="oneCell">
    <xdr:from>
      <xdr:col>1</xdr:col>
      <xdr:colOff>581026</xdr:colOff>
      <xdr:row>69</xdr:row>
      <xdr:rowOff>95251</xdr:rowOff>
    </xdr:from>
    <xdr:to>
      <xdr:col>14</xdr:col>
      <xdr:colOff>550182</xdr:colOff>
      <xdr:row>83</xdr:row>
      <xdr:rowOff>211182</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25"/>
        <a:stretch>
          <a:fillRect/>
        </a:stretch>
      </xdr:blipFill>
      <xdr:spPr>
        <a:xfrm>
          <a:off x="1190626" y="13049251"/>
          <a:ext cx="7886700" cy="3139439"/>
        </a:xfrm>
        <a:prstGeom prst="rect">
          <a:avLst/>
        </a:prstGeom>
      </xdr:spPr>
    </xdr:pic>
    <xdr:clientData/>
  </xdr:twoCellAnchor>
  <xdr:twoCellAnchor editAs="oneCell">
    <xdr:from>
      <xdr:col>1</xdr:col>
      <xdr:colOff>581026</xdr:colOff>
      <xdr:row>170</xdr:row>
      <xdr:rowOff>66676</xdr:rowOff>
    </xdr:from>
    <xdr:to>
      <xdr:col>15</xdr:col>
      <xdr:colOff>76307</xdr:colOff>
      <xdr:row>191</xdr:row>
      <xdr:rowOff>96612</xdr:rowOff>
    </xdr:to>
    <xdr:pic>
      <xdr:nvPicPr>
        <xdr:cNvPr id="50" name="Picture 49">
          <a:extLst>
            <a:ext uri="{FF2B5EF4-FFF2-40B4-BE49-F238E27FC236}">
              <a16:creationId xmlns:a16="http://schemas.microsoft.com/office/drawing/2014/main" id="{00000000-0008-0000-0100-000032000000}"/>
            </a:ext>
          </a:extLst>
        </xdr:cNvPr>
        <xdr:cNvPicPr>
          <a:picLocks noChangeAspect="1"/>
        </xdr:cNvPicPr>
      </xdr:nvPicPr>
      <xdr:blipFill>
        <a:blip xmlns:r="http://schemas.openxmlformats.org/officeDocument/2006/relationships" r:embed="rId26"/>
        <a:stretch>
          <a:fillRect/>
        </a:stretch>
      </xdr:blipFill>
      <xdr:spPr>
        <a:xfrm>
          <a:off x="1190626" y="32451676"/>
          <a:ext cx="8030588" cy="4038599"/>
        </a:xfrm>
        <a:prstGeom prst="rect">
          <a:avLst/>
        </a:prstGeom>
      </xdr:spPr>
    </xdr:pic>
    <xdr:clientData/>
  </xdr:twoCellAnchor>
  <xdr:twoCellAnchor editAs="oneCell">
    <xdr:from>
      <xdr:col>2</xdr:col>
      <xdr:colOff>9526</xdr:colOff>
      <xdr:row>126</xdr:row>
      <xdr:rowOff>142875</xdr:rowOff>
    </xdr:from>
    <xdr:to>
      <xdr:col>15</xdr:col>
      <xdr:colOff>21554</xdr:colOff>
      <xdr:row>162</xdr:row>
      <xdr:rowOff>17783</xdr:rowOff>
    </xdr:to>
    <xdr:pic>
      <xdr:nvPicPr>
        <xdr:cNvPr id="55" name="Picture 54">
          <a:extLst>
            <a:ext uri="{FF2B5EF4-FFF2-40B4-BE49-F238E27FC236}">
              <a16:creationId xmlns:a16="http://schemas.microsoft.com/office/drawing/2014/main" id="{00000000-0008-0000-0100-000037000000}"/>
            </a:ext>
          </a:extLst>
        </xdr:cNvPr>
        <xdr:cNvPicPr>
          <a:picLocks noChangeAspect="1"/>
        </xdr:cNvPicPr>
      </xdr:nvPicPr>
      <xdr:blipFill>
        <a:blip xmlns:r="http://schemas.openxmlformats.org/officeDocument/2006/relationships" r:embed="rId27"/>
        <a:stretch>
          <a:fillRect/>
        </a:stretch>
      </xdr:blipFill>
      <xdr:spPr>
        <a:xfrm>
          <a:off x="1228726" y="24145875"/>
          <a:ext cx="7924130" cy="8075933"/>
        </a:xfrm>
        <a:prstGeom prst="rect">
          <a:avLst/>
        </a:prstGeom>
      </xdr:spPr>
    </xdr:pic>
    <xdr:clientData/>
  </xdr:twoCellAnchor>
  <xdr:twoCellAnchor editAs="oneCell">
    <xdr:from>
      <xdr:col>1</xdr:col>
      <xdr:colOff>504825</xdr:colOff>
      <xdr:row>30</xdr:row>
      <xdr:rowOff>152400</xdr:rowOff>
    </xdr:from>
    <xdr:to>
      <xdr:col>15</xdr:col>
      <xdr:colOff>74445</xdr:colOff>
      <xdr:row>47</xdr:row>
      <xdr:rowOff>93888</xdr:rowOff>
    </xdr:to>
    <xdr:pic>
      <xdr:nvPicPr>
        <xdr:cNvPr id="56" name="Picture 55">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28"/>
        <a:stretch>
          <a:fillRect/>
        </a:stretch>
      </xdr:blipFill>
      <xdr:spPr>
        <a:xfrm>
          <a:off x="1114425" y="5676900"/>
          <a:ext cx="8104927" cy="3171825"/>
        </a:xfrm>
        <a:prstGeom prst="rect">
          <a:avLst/>
        </a:prstGeom>
      </xdr:spPr>
    </xdr:pic>
    <xdr:clientData/>
  </xdr:twoCellAnchor>
  <xdr:twoCellAnchor editAs="oneCell">
    <xdr:from>
      <xdr:col>2</xdr:col>
      <xdr:colOff>0</xdr:colOff>
      <xdr:row>225</xdr:row>
      <xdr:rowOff>0</xdr:rowOff>
    </xdr:from>
    <xdr:to>
      <xdr:col>12</xdr:col>
      <xdr:colOff>37193</xdr:colOff>
      <xdr:row>231</xdr:row>
      <xdr:rowOff>170088</xdr:rowOff>
    </xdr:to>
    <xdr:pic>
      <xdr:nvPicPr>
        <xdr:cNvPr id="37" name="Picture 36">
          <a:extLst>
            <a:ext uri="{FF2B5EF4-FFF2-40B4-BE49-F238E27FC236}">
              <a16:creationId xmlns:a16="http://schemas.microsoft.com/office/drawing/2014/main" id="{00000000-0008-0000-0100-000025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219200" y="42986325"/>
          <a:ext cx="6134100" cy="1362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232</xdr:row>
      <xdr:rowOff>0</xdr:rowOff>
    </xdr:from>
    <xdr:to>
      <xdr:col>11</xdr:col>
      <xdr:colOff>532493</xdr:colOff>
      <xdr:row>238</xdr:row>
      <xdr:rowOff>95250</xdr:rowOff>
    </xdr:to>
    <xdr:pic>
      <xdr:nvPicPr>
        <xdr:cNvPr id="46" name="Picture 45">
          <a:extLst>
            <a:ext uri="{FF2B5EF4-FFF2-40B4-BE49-F238E27FC236}">
              <a16:creationId xmlns:a16="http://schemas.microsoft.com/office/drawing/2014/main" id="{00000000-0008-0000-0100-00002E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219200" y="44386500"/>
          <a:ext cx="6019800" cy="1285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333375</xdr:colOff>
      <xdr:row>63</xdr:row>
      <xdr:rowOff>47625</xdr:rowOff>
    </xdr:from>
    <xdr:to>
      <xdr:col>29</xdr:col>
      <xdr:colOff>56346</xdr:colOff>
      <xdr:row>68</xdr:row>
      <xdr:rowOff>76077</xdr:rowOff>
    </xdr:to>
    <xdr:pic>
      <xdr:nvPicPr>
        <xdr:cNvPr id="10" name="Pictur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31"/>
        <a:stretch>
          <a:fillRect/>
        </a:stretch>
      </xdr:blipFill>
      <xdr:spPr>
        <a:xfrm>
          <a:off x="11306175" y="11858625"/>
          <a:ext cx="6428571" cy="980952"/>
        </a:xfrm>
        <a:prstGeom prst="rect">
          <a:avLst/>
        </a:prstGeom>
      </xdr:spPr>
    </xdr:pic>
    <xdr:clientData/>
  </xdr:twoCellAnchor>
  <xdr:twoCellAnchor editAs="oneCell">
    <xdr:from>
      <xdr:col>18</xdr:col>
      <xdr:colOff>390525</xdr:colOff>
      <xdr:row>70</xdr:row>
      <xdr:rowOff>161925</xdr:rowOff>
    </xdr:from>
    <xdr:to>
      <xdr:col>29</xdr:col>
      <xdr:colOff>245469</xdr:colOff>
      <xdr:row>79</xdr:row>
      <xdr:rowOff>152180</xdr:rowOff>
    </xdr:to>
    <xdr:pic>
      <xdr:nvPicPr>
        <xdr:cNvPr id="13" name="Pictur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2"/>
        <a:stretch>
          <a:fillRect/>
        </a:stretch>
      </xdr:blipFill>
      <xdr:spPr>
        <a:xfrm>
          <a:off x="11363325" y="13306425"/>
          <a:ext cx="6552381" cy="1761905"/>
        </a:xfrm>
        <a:prstGeom prst="rect">
          <a:avLst/>
        </a:prstGeom>
      </xdr:spPr>
    </xdr:pic>
    <xdr:clientData/>
  </xdr:twoCellAnchor>
  <xdr:twoCellAnchor editAs="oneCell">
    <xdr:from>
      <xdr:col>18</xdr:col>
      <xdr:colOff>400050</xdr:colOff>
      <xdr:row>83</xdr:row>
      <xdr:rowOff>9525</xdr:rowOff>
    </xdr:from>
    <xdr:to>
      <xdr:col>29</xdr:col>
      <xdr:colOff>189688</xdr:colOff>
      <xdr:row>90</xdr:row>
      <xdr:rowOff>58293</xdr:rowOff>
    </xdr:to>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33"/>
        <a:stretch>
          <a:fillRect/>
        </a:stretch>
      </xdr:blipFill>
      <xdr:spPr>
        <a:xfrm>
          <a:off x="11372850" y="15678150"/>
          <a:ext cx="6495238" cy="1752381"/>
        </a:xfrm>
        <a:prstGeom prst="rect">
          <a:avLst/>
        </a:prstGeom>
      </xdr:spPr>
    </xdr:pic>
    <xdr:clientData/>
  </xdr:twoCellAnchor>
  <xdr:twoCellAnchor editAs="oneCell">
    <xdr:from>
      <xdr:col>40</xdr:col>
      <xdr:colOff>85725</xdr:colOff>
      <xdr:row>61</xdr:row>
      <xdr:rowOff>180975</xdr:rowOff>
    </xdr:from>
    <xdr:to>
      <xdr:col>44</xdr:col>
      <xdr:colOff>551711</xdr:colOff>
      <xdr:row>79</xdr:row>
      <xdr:rowOff>0</xdr:rowOff>
    </xdr:to>
    <xdr:pic>
      <xdr:nvPicPr>
        <xdr:cNvPr id="47" name="Picture 46">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34"/>
        <a:stretch>
          <a:fillRect/>
        </a:stretch>
      </xdr:blipFill>
      <xdr:spPr>
        <a:xfrm>
          <a:off x="26746200" y="11610975"/>
          <a:ext cx="3914036" cy="3352800"/>
        </a:xfrm>
        <a:prstGeom prst="rect">
          <a:avLst/>
        </a:prstGeom>
      </xdr:spPr>
    </xdr:pic>
    <xdr:clientData/>
  </xdr:twoCellAnchor>
  <xdr:twoCellAnchor editAs="oneCell">
    <xdr:from>
      <xdr:col>33</xdr:col>
      <xdr:colOff>19050</xdr:colOff>
      <xdr:row>111</xdr:row>
      <xdr:rowOff>104776</xdr:rowOff>
    </xdr:from>
    <xdr:to>
      <xdr:col>41</xdr:col>
      <xdr:colOff>20412</xdr:colOff>
      <xdr:row>125</xdr:row>
      <xdr:rowOff>56281</xdr:rowOff>
    </xdr:to>
    <xdr:pic>
      <xdr:nvPicPr>
        <xdr:cNvPr id="52" name="Picture 51">
          <a:extLst>
            <a:ext uri="{FF2B5EF4-FFF2-40B4-BE49-F238E27FC236}">
              <a16:creationId xmlns:a16="http://schemas.microsoft.com/office/drawing/2014/main" id="{00000000-0008-0000-0100-000034000000}"/>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20116800" y="22498051"/>
          <a:ext cx="7591425" cy="26302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41</xdr:col>
      <xdr:colOff>685800</xdr:colOff>
      <xdr:row>111</xdr:row>
      <xdr:rowOff>76200</xdr:rowOff>
    </xdr:from>
    <xdr:to>
      <xdr:col>55</xdr:col>
      <xdr:colOff>209550</xdr:colOff>
      <xdr:row>125</xdr:row>
      <xdr:rowOff>93189</xdr:rowOff>
    </xdr:to>
    <xdr:pic>
      <xdr:nvPicPr>
        <xdr:cNvPr id="65" name="Picture 64">
          <a:extLst>
            <a:ext uri="{FF2B5EF4-FFF2-40B4-BE49-F238E27FC236}">
              <a16:creationId xmlns:a16="http://schemas.microsoft.com/office/drawing/2014/main" id="{00000000-0008-0000-0100-000041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28365450" y="22383750"/>
          <a:ext cx="8429625" cy="2675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33</xdr:col>
      <xdr:colOff>219076</xdr:colOff>
      <xdr:row>129</xdr:row>
      <xdr:rowOff>57150</xdr:rowOff>
    </xdr:from>
    <xdr:to>
      <xdr:col>41</xdr:col>
      <xdr:colOff>553813</xdr:colOff>
      <xdr:row>138</xdr:row>
      <xdr:rowOff>57446</xdr:rowOff>
    </xdr:to>
    <xdr:pic>
      <xdr:nvPicPr>
        <xdr:cNvPr id="70" name="Picture 69">
          <a:extLst>
            <a:ext uri="{FF2B5EF4-FFF2-40B4-BE49-F238E27FC236}">
              <a16:creationId xmlns:a16="http://schemas.microsoft.com/office/drawing/2014/main" id="{00000000-0008-0000-0100-00004600000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20316826" y="25793700"/>
          <a:ext cx="7924800" cy="29154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390525</xdr:colOff>
      <xdr:row>29</xdr:row>
      <xdr:rowOff>28575</xdr:rowOff>
    </xdr:from>
    <xdr:to>
      <xdr:col>10</xdr:col>
      <xdr:colOff>513106</xdr:colOff>
      <xdr:row>69</xdr:row>
      <xdr:rowOff>8574</xdr:rowOff>
    </xdr:to>
    <xdr:pic>
      <xdr:nvPicPr>
        <xdr:cNvPr id="2" name="Picture 1">
          <a:extLst>
            <a:ext uri="{FF2B5EF4-FFF2-40B4-BE49-F238E27FC236}">
              <a16:creationId xmlns:a16="http://schemas.microsoft.com/office/drawing/2014/main" id="{00000000-0008-0000-1400-000002000000}"/>
            </a:ext>
          </a:extLst>
        </xdr:cNvPr>
        <xdr:cNvPicPr>
          <a:picLocks noChangeAspect="1"/>
        </xdr:cNvPicPr>
      </xdr:nvPicPr>
      <xdr:blipFill>
        <a:blip xmlns:r="http://schemas.openxmlformats.org/officeDocument/2006/relationships" r:embed="rId1"/>
        <a:stretch>
          <a:fillRect/>
        </a:stretch>
      </xdr:blipFill>
      <xdr:spPr>
        <a:xfrm>
          <a:off x="838200" y="6162675"/>
          <a:ext cx="9914281" cy="7609524"/>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7</xdr:col>
      <xdr:colOff>219075</xdr:colOff>
      <xdr:row>21</xdr:row>
      <xdr:rowOff>76200</xdr:rowOff>
    </xdr:from>
    <xdr:to>
      <xdr:col>20</xdr:col>
      <xdr:colOff>598833</xdr:colOff>
      <xdr:row>62</xdr:row>
      <xdr:rowOff>56128</xdr:rowOff>
    </xdr:to>
    <xdr:pic>
      <xdr:nvPicPr>
        <xdr:cNvPr id="3" name="Picture 2">
          <a:extLst>
            <a:ext uri="{FF2B5EF4-FFF2-40B4-BE49-F238E27FC236}">
              <a16:creationId xmlns:a16="http://schemas.microsoft.com/office/drawing/2014/main" id="{00000000-0008-0000-1500-000003000000}"/>
            </a:ext>
          </a:extLst>
        </xdr:cNvPr>
        <xdr:cNvPicPr>
          <a:picLocks noChangeAspect="1"/>
        </xdr:cNvPicPr>
      </xdr:nvPicPr>
      <xdr:blipFill>
        <a:blip xmlns:r="http://schemas.openxmlformats.org/officeDocument/2006/relationships" r:embed="rId1"/>
        <a:stretch>
          <a:fillRect/>
        </a:stretch>
      </xdr:blipFill>
      <xdr:spPr>
        <a:xfrm>
          <a:off x="37157025" y="4733925"/>
          <a:ext cx="9876183" cy="8171428"/>
        </a:xfrm>
        <a:prstGeom prst="rect">
          <a:avLst/>
        </a:prstGeom>
      </xdr:spPr>
    </xdr:pic>
    <xdr:clientData/>
  </xdr:twoCellAnchor>
  <xdr:twoCellAnchor editAs="oneCell">
    <xdr:from>
      <xdr:col>2</xdr:col>
      <xdr:colOff>200025</xdr:colOff>
      <xdr:row>39</xdr:row>
      <xdr:rowOff>0</xdr:rowOff>
    </xdr:from>
    <xdr:to>
      <xdr:col>2</xdr:col>
      <xdr:colOff>5095263</xdr:colOff>
      <xdr:row>51</xdr:row>
      <xdr:rowOff>75905</xdr:rowOff>
    </xdr:to>
    <xdr:pic>
      <xdr:nvPicPr>
        <xdr:cNvPr id="4" name="Picture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2"/>
        <a:stretch>
          <a:fillRect/>
        </a:stretch>
      </xdr:blipFill>
      <xdr:spPr>
        <a:xfrm>
          <a:off x="5895975" y="8353425"/>
          <a:ext cx="4895238" cy="2361905"/>
        </a:xfrm>
        <a:prstGeom prst="rect">
          <a:avLst/>
        </a:prstGeom>
      </xdr:spPr>
    </xdr:pic>
    <xdr:clientData/>
  </xdr:twoCellAnchor>
  <xdr:twoCellAnchor editAs="oneCell">
    <xdr:from>
      <xdr:col>2</xdr:col>
      <xdr:colOff>5514975</xdr:colOff>
      <xdr:row>38</xdr:row>
      <xdr:rowOff>152401</xdr:rowOff>
    </xdr:from>
    <xdr:to>
      <xdr:col>2</xdr:col>
      <xdr:colOff>8924925</xdr:colOff>
      <xdr:row>51</xdr:row>
      <xdr:rowOff>4258</xdr:rowOff>
    </xdr:to>
    <xdr:pic>
      <xdr:nvPicPr>
        <xdr:cNvPr id="6" name="Picture 5">
          <a:extLst>
            <a:ext uri="{FF2B5EF4-FFF2-40B4-BE49-F238E27FC236}">
              <a16:creationId xmlns:a16="http://schemas.microsoft.com/office/drawing/2014/main" id="{00000000-0008-0000-1500-000006000000}"/>
            </a:ext>
          </a:extLst>
        </xdr:cNvPr>
        <xdr:cNvPicPr>
          <a:picLocks noChangeAspect="1"/>
        </xdr:cNvPicPr>
      </xdr:nvPicPr>
      <xdr:blipFill>
        <a:blip xmlns:r="http://schemas.openxmlformats.org/officeDocument/2006/relationships" r:embed="rId3"/>
        <a:stretch>
          <a:fillRect/>
        </a:stretch>
      </xdr:blipFill>
      <xdr:spPr>
        <a:xfrm>
          <a:off x="11210925" y="8315326"/>
          <a:ext cx="3409950" cy="2328357"/>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3</xdr:col>
      <xdr:colOff>0</xdr:colOff>
      <xdr:row>42</xdr:row>
      <xdr:rowOff>0</xdr:rowOff>
    </xdr:from>
    <xdr:to>
      <xdr:col>13</xdr:col>
      <xdr:colOff>455957</xdr:colOff>
      <xdr:row>62</xdr:row>
      <xdr:rowOff>190000</xdr:rowOff>
    </xdr:to>
    <xdr:pic>
      <xdr:nvPicPr>
        <xdr:cNvPr id="2" name="Picture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1828800" y="5524500"/>
          <a:ext cx="9904757" cy="4000000"/>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11</xdr:col>
      <xdr:colOff>942975</xdr:colOff>
      <xdr:row>69</xdr:row>
      <xdr:rowOff>1</xdr:rowOff>
    </xdr:from>
    <xdr:to>
      <xdr:col>13</xdr:col>
      <xdr:colOff>258779</xdr:colOff>
      <xdr:row>84</xdr:row>
      <xdr:rowOff>168219</xdr:rowOff>
    </xdr:to>
    <xdr:pic>
      <xdr:nvPicPr>
        <xdr:cNvPr id="2" name="Picture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21040725" y="10868026"/>
          <a:ext cx="3532203" cy="3025718"/>
        </a:xfrm>
        <a:prstGeom prst="rect">
          <a:avLst/>
        </a:prstGeom>
      </xdr:spPr>
    </xdr:pic>
    <xdr:clientData/>
  </xdr:twoCellAnchor>
  <xdr:twoCellAnchor editAs="oneCell">
    <xdr:from>
      <xdr:col>4</xdr:col>
      <xdr:colOff>1247775</xdr:colOff>
      <xdr:row>67</xdr:row>
      <xdr:rowOff>76200</xdr:rowOff>
    </xdr:from>
    <xdr:to>
      <xdr:col>10</xdr:col>
      <xdr:colOff>779000</xdr:colOff>
      <xdr:row>86</xdr:row>
      <xdr:rowOff>35378</xdr:rowOff>
    </xdr:to>
    <xdr:pic>
      <xdr:nvPicPr>
        <xdr:cNvPr id="3" name="Picture 2">
          <a:extLst>
            <a:ext uri="{FF2B5EF4-FFF2-40B4-BE49-F238E27FC236}">
              <a16:creationId xmlns:a16="http://schemas.microsoft.com/office/drawing/2014/main" id="{00000000-0008-0000-1700-000003000000}"/>
            </a:ext>
          </a:extLst>
        </xdr:cNvPr>
        <xdr:cNvPicPr>
          <a:picLocks noChangeAspect="1"/>
        </xdr:cNvPicPr>
      </xdr:nvPicPr>
      <xdr:blipFill>
        <a:blip xmlns:r="http://schemas.openxmlformats.org/officeDocument/2006/relationships" r:embed="rId2"/>
        <a:stretch>
          <a:fillRect/>
        </a:stretch>
      </xdr:blipFill>
      <xdr:spPr>
        <a:xfrm>
          <a:off x="9277350" y="10563225"/>
          <a:ext cx="10335296" cy="3578678"/>
        </a:xfrm>
        <a:prstGeom prst="rect">
          <a:avLst/>
        </a:prstGeom>
      </xdr:spPr>
    </xdr:pic>
    <xdr:clientData/>
  </xdr:twoCellAnchor>
  <xdr:twoCellAnchor editAs="oneCell">
    <xdr:from>
      <xdr:col>8</xdr:col>
      <xdr:colOff>247649</xdr:colOff>
      <xdr:row>108</xdr:row>
      <xdr:rowOff>42160</xdr:rowOff>
    </xdr:from>
    <xdr:to>
      <xdr:col>10</xdr:col>
      <xdr:colOff>621264</xdr:colOff>
      <xdr:row>109</xdr:row>
      <xdr:rowOff>38099</xdr:rowOff>
    </xdr:to>
    <xdr:pic>
      <xdr:nvPicPr>
        <xdr:cNvPr id="4" name="Picture 3">
          <a:extLst>
            <a:ext uri="{FF2B5EF4-FFF2-40B4-BE49-F238E27FC236}">
              <a16:creationId xmlns:a16="http://schemas.microsoft.com/office/drawing/2014/main" id="{00000000-0008-0000-17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5001874" y="18663535"/>
          <a:ext cx="3935964" cy="186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257175</xdr:colOff>
      <xdr:row>109</xdr:row>
      <xdr:rowOff>28575</xdr:rowOff>
    </xdr:from>
    <xdr:to>
      <xdr:col>10</xdr:col>
      <xdr:colOff>628650</xdr:colOff>
      <xdr:row>110</xdr:row>
      <xdr:rowOff>30175</xdr:rowOff>
    </xdr:to>
    <xdr:pic>
      <xdr:nvPicPr>
        <xdr:cNvPr id="5" name="Picture 4">
          <a:extLst>
            <a:ext uri="{FF2B5EF4-FFF2-40B4-BE49-F238E27FC236}">
              <a16:creationId xmlns:a16="http://schemas.microsoft.com/office/drawing/2014/main" id="{00000000-0008-0000-17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011400" y="18869025"/>
          <a:ext cx="3933824" cy="1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222250</xdr:colOff>
      <xdr:row>1</xdr:row>
      <xdr:rowOff>10584</xdr:rowOff>
    </xdr:from>
    <xdr:to>
      <xdr:col>2</xdr:col>
      <xdr:colOff>4907797</xdr:colOff>
      <xdr:row>8</xdr:row>
      <xdr:rowOff>195036</xdr:rowOff>
    </xdr:to>
    <xdr:pic>
      <xdr:nvPicPr>
        <xdr:cNvPr id="7" name="Picture 6">
          <a:extLst>
            <a:ext uri="{FF2B5EF4-FFF2-40B4-BE49-F238E27FC236}">
              <a16:creationId xmlns:a16="http://schemas.microsoft.com/office/drawing/2014/main" id="{00000000-0008-0000-1700-000007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22250" y="211667"/>
          <a:ext cx="5913214" cy="20108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231319</xdr:colOff>
      <xdr:row>29</xdr:row>
      <xdr:rowOff>27212</xdr:rowOff>
    </xdr:from>
    <xdr:to>
      <xdr:col>2</xdr:col>
      <xdr:colOff>4875219</xdr:colOff>
      <xdr:row>39</xdr:row>
      <xdr:rowOff>190499</xdr:rowOff>
    </xdr:to>
    <xdr:pic>
      <xdr:nvPicPr>
        <xdr:cNvPr id="10" name="Picture 9">
          <a:extLst>
            <a:ext uri="{FF2B5EF4-FFF2-40B4-BE49-F238E27FC236}">
              <a16:creationId xmlns:a16="http://schemas.microsoft.com/office/drawing/2014/main" id="{00000000-0008-0000-1700-00000A000000}"/>
            </a:ext>
          </a:extLst>
        </xdr:cNvPr>
        <xdr:cNvPicPr>
          <a:picLocks noChangeAspect="1"/>
        </xdr:cNvPicPr>
      </xdr:nvPicPr>
      <xdr:blipFill>
        <a:blip xmlns:r="http://schemas.openxmlformats.org/officeDocument/2006/relationships" r:embed="rId6"/>
        <a:stretch>
          <a:fillRect/>
        </a:stretch>
      </xdr:blipFill>
      <xdr:spPr>
        <a:xfrm>
          <a:off x="231319" y="2530926"/>
          <a:ext cx="5868543" cy="2449287"/>
        </a:xfrm>
        <a:prstGeom prst="rect">
          <a:avLst/>
        </a:prstGeom>
      </xdr:spPr>
    </xdr:pic>
    <xdr:clientData/>
  </xdr:twoCellAnchor>
  <xdr:twoCellAnchor editAs="oneCell">
    <xdr:from>
      <xdr:col>7</xdr:col>
      <xdr:colOff>13607</xdr:colOff>
      <xdr:row>132</xdr:row>
      <xdr:rowOff>0</xdr:rowOff>
    </xdr:from>
    <xdr:to>
      <xdr:col>14</xdr:col>
      <xdr:colOff>1216265</xdr:colOff>
      <xdr:row>143</xdr:row>
      <xdr:rowOff>173566</xdr:rowOff>
    </xdr:to>
    <xdr:pic>
      <xdr:nvPicPr>
        <xdr:cNvPr id="11" name="Picture 10">
          <a:extLst>
            <a:ext uri="{FF2B5EF4-FFF2-40B4-BE49-F238E27FC236}">
              <a16:creationId xmlns:a16="http://schemas.microsoft.com/office/drawing/2014/main" id="{00000000-0008-0000-1700-00000B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3266964" y="24043821"/>
          <a:ext cx="15000301" cy="22690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2026708</xdr:colOff>
      <xdr:row>146</xdr:row>
      <xdr:rowOff>187665</xdr:rowOff>
    </xdr:from>
    <xdr:to>
      <xdr:col>12</xdr:col>
      <xdr:colOff>2004479</xdr:colOff>
      <xdr:row>156</xdr:row>
      <xdr:rowOff>0</xdr:rowOff>
    </xdr:to>
    <xdr:pic>
      <xdr:nvPicPr>
        <xdr:cNvPr id="12" name="Picture 11">
          <a:extLst>
            <a:ext uri="{FF2B5EF4-FFF2-40B4-BE49-F238E27FC236}">
              <a16:creationId xmlns:a16="http://schemas.microsoft.com/office/drawing/2014/main" id="{00000000-0008-0000-1700-00000C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5234708" y="27111665"/>
          <a:ext cx="9518646" cy="17173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3</xdr:col>
      <xdr:colOff>47625</xdr:colOff>
      <xdr:row>39</xdr:row>
      <xdr:rowOff>31750</xdr:rowOff>
    </xdr:from>
    <xdr:to>
      <xdr:col>9</xdr:col>
      <xdr:colOff>665502</xdr:colOff>
      <xdr:row>55</xdr:row>
      <xdr:rowOff>78994</xdr:rowOff>
    </xdr:to>
    <xdr:pic>
      <xdr:nvPicPr>
        <xdr:cNvPr id="2" name="Picture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3016250" y="10064750"/>
          <a:ext cx="9984127" cy="3095244"/>
        </a:xfrm>
        <a:prstGeom prst="rect">
          <a:avLst/>
        </a:prstGeom>
      </xdr:spPr>
    </xdr:pic>
    <xdr:clientData/>
  </xdr:twoCellAnchor>
  <xdr:twoCellAnchor editAs="oneCell">
    <xdr:from>
      <xdr:col>4</xdr:col>
      <xdr:colOff>1638300</xdr:colOff>
      <xdr:row>1</xdr:row>
      <xdr:rowOff>28576</xdr:rowOff>
    </xdr:from>
    <xdr:to>
      <xdr:col>9</xdr:col>
      <xdr:colOff>104775</xdr:colOff>
      <xdr:row>8</xdr:row>
      <xdr:rowOff>77614</xdr:rowOff>
    </xdr:to>
    <xdr:pic>
      <xdr:nvPicPr>
        <xdr:cNvPr id="4" name="Picture 3">
          <a:extLst>
            <a:ext uri="{FF2B5EF4-FFF2-40B4-BE49-F238E27FC236}">
              <a16:creationId xmlns:a16="http://schemas.microsoft.com/office/drawing/2014/main" id="{00000000-0008-0000-1800-000004000000}"/>
            </a:ext>
          </a:extLst>
        </xdr:cNvPr>
        <xdr:cNvPicPr>
          <a:picLocks noChangeAspect="1"/>
        </xdr:cNvPicPr>
      </xdr:nvPicPr>
      <xdr:blipFill>
        <a:blip xmlns:r="http://schemas.openxmlformats.org/officeDocument/2006/relationships" r:embed="rId2"/>
        <a:stretch>
          <a:fillRect/>
        </a:stretch>
      </xdr:blipFill>
      <xdr:spPr>
        <a:xfrm>
          <a:off x="6257925" y="228601"/>
          <a:ext cx="6172200" cy="2258838"/>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11</xdr:col>
      <xdr:colOff>0</xdr:colOff>
      <xdr:row>42</xdr:row>
      <xdr:rowOff>0</xdr:rowOff>
    </xdr:from>
    <xdr:to>
      <xdr:col>19</xdr:col>
      <xdr:colOff>408332</xdr:colOff>
      <xdr:row>61</xdr:row>
      <xdr:rowOff>142405</xdr:rowOff>
    </xdr:to>
    <xdr:pic>
      <xdr:nvPicPr>
        <xdr:cNvPr id="2" name="Picture 1">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a:stretch>
          <a:fillRect/>
        </a:stretch>
      </xdr:blipFill>
      <xdr:spPr>
        <a:xfrm>
          <a:off x="6705600" y="8001000"/>
          <a:ext cx="9942857" cy="3761905"/>
        </a:xfrm>
        <a:prstGeom prst="rect">
          <a:avLst/>
        </a:prstGeom>
      </xdr:spPr>
    </xdr:pic>
    <xdr:clientData/>
  </xdr:twoCellAnchor>
  <xdr:twoCellAnchor editAs="oneCell">
    <xdr:from>
      <xdr:col>6</xdr:col>
      <xdr:colOff>19050</xdr:colOff>
      <xdr:row>0</xdr:row>
      <xdr:rowOff>1</xdr:rowOff>
    </xdr:from>
    <xdr:to>
      <xdr:col>10</xdr:col>
      <xdr:colOff>371475</xdr:colOff>
      <xdr:row>7</xdr:row>
      <xdr:rowOff>41756</xdr:rowOff>
    </xdr:to>
    <xdr:pic>
      <xdr:nvPicPr>
        <xdr:cNvPr id="3" name="Picture 2">
          <a:extLst>
            <a:ext uri="{FF2B5EF4-FFF2-40B4-BE49-F238E27FC236}">
              <a16:creationId xmlns:a16="http://schemas.microsoft.com/office/drawing/2014/main" id="{00000000-0008-0000-1900-000003000000}"/>
            </a:ext>
          </a:extLst>
        </xdr:cNvPr>
        <xdr:cNvPicPr>
          <a:picLocks noChangeAspect="1"/>
        </xdr:cNvPicPr>
      </xdr:nvPicPr>
      <xdr:blipFill>
        <a:blip xmlns:r="http://schemas.openxmlformats.org/officeDocument/2006/relationships" r:embed="rId2"/>
        <a:stretch>
          <a:fillRect/>
        </a:stretch>
      </xdr:blipFill>
      <xdr:spPr>
        <a:xfrm>
          <a:off x="7934325" y="1"/>
          <a:ext cx="6143625" cy="224838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11</xdr:col>
      <xdr:colOff>180975</xdr:colOff>
      <xdr:row>70</xdr:row>
      <xdr:rowOff>19051</xdr:rowOff>
    </xdr:from>
    <xdr:to>
      <xdr:col>12</xdr:col>
      <xdr:colOff>1798653</xdr:colOff>
      <xdr:row>85</xdr:row>
      <xdr:rowOff>187269</xdr:rowOff>
    </xdr:to>
    <xdr:pic>
      <xdr:nvPicPr>
        <xdr:cNvPr id="2" name="Picture 1">
          <a:extLst>
            <a:ext uri="{FF2B5EF4-FFF2-40B4-BE49-F238E27FC236}">
              <a16:creationId xmlns:a16="http://schemas.microsoft.com/office/drawing/2014/main" id="{00000000-0008-0000-1A00-000002000000}"/>
            </a:ext>
          </a:extLst>
        </xdr:cNvPr>
        <xdr:cNvPicPr>
          <a:picLocks noChangeAspect="1"/>
        </xdr:cNvPicPr>
      </xdr:nvPicPr>
      <xdr:blipFill>
        <a:blip xmlns:r="http://schemas.openxmlformats.org/officeDocument/2006/relationships" r:embed="rId1"/>
        <a:stretch>
          <a:fillRect/>
        </a:stretch>
      </xdr:blipFill>
      <xdr:spPr>
        <a:xfrm>
          <a:off x="20278725" y="11029951"/>
          <a:ext cx="3532203" cy="3025718"/>
        </a:xfrm>
        <a:prstGeom prst="rect">
          <a:avLst/>
        </a:prstGeom>
      </xdr:spPr>
    </xdr:pic>
    <xdr:clientData/>
  </xdr:twoCellAnchor>
  <xdr:twoCellAnchor editAs="oneCell">
    <xdr:from>
      <xdr:col>7</xdr:col>
      <xdr:colOff>247649</xdr:colOff>
      <xdr:row>109</xdr:row>
      <xdr:rowOff>42160</xdr:rowOff>
    </xdr:from>
    <xdr:to>
      <xdr:col>9</xdr:col>
      <xdr:colOff>621263</xdr:colOff>
      <xdr:row>110</xdr:row>
      <xdr:rowOff>66675</xdr:rowOff>
    </xdr:to>
    <xdr:pic>
      <xdr:nvPicPr>
        <xdr:cNvPr id="3" name="Picture 2">
          <a:extLst>
            <a:ext uri="{FF2B5EF4-FFF2-40B4-BE49-F238E27FC236}">
              <a16:creationId xmlns:a16="http://schemas.microsoft.com/office/drawing/2014/main" id="{00000000-0008-0000-1A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3220699" y="18815935"/>
          <a:ext cx="3935964" cy="2150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110</xdr:row>
      <xdr:rowOff>28575</xdr:rowOff>
    </xdr:from>
    <xdr:to>
      <xdr:col>9</xdr:col>
      <xdr:colOff>628649</xdr:colOff>
      <xdr:row>111</xdr:row>
      <xdr:rowOff>50091</xdr:rowOff>
    </xdr:to>
    <xdr:pic>
      <xdr:nvPicPr>
        <xdr:cNvPr id="4" name="Picture 3">
          <a:extLst>
            <a:ext uri="{FF2B5EF4-FFF2-40B4-BE49-F238E27FC236}">
              <a16:creationId xmlns:a16="http://schemas.microsoft.com/office/drawing/2014/main" id="{00000000-0008-0000-1A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230225" y="19021425"/>
          <a:ext cx="3933824" cy="212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47625</xdr:colOff>
      <xdr:row>68</xdr:row>
      <xdr:rowOff>29593</xdr:rowOff>
    </xdr:from>
    <xdr:to>
      <xdr:col>10</xdr:col>
      <xdr:colOff>1495425</xdr:colOff>
      <xdr:row>86</xdr:row>
      <xdr:rowOff>61480</xdr:rowOff>
    </xdr:to>
    <xdr:pic>
      <xdr:nvPicPr>
        <xdr:cNvPr id="5" name="Picture 4">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4"/>
        <a:stretch>
          <a:fillRect/>
        </a:stretch>
      </xdr:blipFill>
      <xdr:spPr>
        <a:xfrm>
          <a:off x="9858375" y="10659493"/>
          <a:ext cx="9953625" cy="3460887"/>
        </a:xfrm>
        <a:prstGeom prst="rect">
          <a:avLst/>
        </a:prstGeom>
      </xdr:spPr>
    </xdr:pic>
    <xdr:clientData/>
  </xdr:twoCellAnchor>
  <xdr:twoCellAnchor editAs="oneCell">
    <xdr:from>
      <xdr:col>2</xdr:col>
      <xdr:colOff>1</xdr:colOff>
      <xdr:row>1</xdr:row>
      <xdr:rowOff>1</xdr:rowOff>
    </xdr:from>
    <xdr:to>
      <xdr:col>2</xdr:col>
      <xdr:colOff>4821383</xdr:colOff>
      <xdr:row>7</xdr:row>
      <xdr:rowOff>66676</xdr:rowOff>
    </xdr:to>
    <xdr:pic>
      <xdr:nvPicPr>
        <xdr:cNvPr id="6" name="Picture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4"/>
        <a:stretch>
          <a:fillRect/>
        </a:stretch>
      </xdr:blipFill>
      <xdr:spPr>
        <a:xfrm>
          <a:off x="1219201" y="200026"/>
          <a:ext cx="4821382" cy="1676400"/>
        </a:xfrm>
        <a:prstGeom prst="rect">
          <a:avLst/>
        </a:prstGeom>
      </xdr:spPr>
    </xdr:pic>
    <xdr:clientData/>
  </xdr:twoCellAnchor>
  <xdr:twoCellAnchor editAs="oneCell">
    <xdr:from>
      <xdr:col>2</xdr:col>
      <xdr:colOff>28575</xdr:colOff>
      <xdr:row>29</xdr:row>
      <xdr:rowOff>28575</xdr:rowOff>
    </xdr:from>
    <xdr:to>
      <xdr:col>2</xdr:col>
      <xdr:colOff>4771601</xdr:colOff>
      <xdr:row>37</xdr:row>
      <xdr:rowOff>152400</xdr:rowOff>
    </xdr:to>
    <xdr:pic>
      <xdr:nvPicPr>
        <xdr:cNvPr id="7" name="Picture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5"/>
        <a:stretch>
          <a:fillRect/>
        </a:stretch>
      </xdr:blipFill>
      <xdr:spPr>
        <a:xfrm>
          <a:off x="1247775" y="2143125"/>
          <a:ext cx="4743026" cy="1971675"/>
        </a:xfrm>
        <a:prstGeom prst="rect">
          <a:avLst/>
        </a:prstGeom>
      </xdr:spPr>
    </xdr:pic>
    <xdr:clientData/>
  </xdr:twoCellAnchor>
  <xdr:twoCellAnchor editAs="oneCell">
    <xdr:from>
      <xdr:col>2</xdr:col>
      <xdr:colOff>0</xdr:colOff>
      <xdr:row>39</xdr:row>
      <xdr:rowOff>0</xdr:rowOff>
    </xdr:from>
    <xdr:to>
      <xdr:col>2</xdr:col>
      <xdr:colOff>4731250</xdr:colOff>
      <xdr:row>49</xdr:row>
      <xdr:rowOff>0</xdr:rowOff>
    </xdr:to>
    <xdr:pic>
      <xdr:nvPicPr>
        <xdr:cNvPr id="8" name="Picture 7">
          <a:extLst>
            <a:ext uri="{FF2B5EF4-FFF2-40B4-BE49-F238E27FC236}">
              <a16:creationId xmlns:a16="http://schemas.microsoft.com/office/drawing/2014/main" id="{00000000-0008-0000-1A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9200" y="4400550"/>
          <a:ext cx="4731250" cy="2181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11</xdr:col>
      <xdr:colOff>942975</xdr:colOff>
      <xdr:row>49</xdr:row>
      <xdr:rowOff>1</xdr:rowOff>
    </xdr:from>
    <xdr:to>
      <xdr:col>13</xdr:col>
      <xdr:colOff>512778</xdr:colOff>
      <xdr:row>64</xdr:row>
      <xdr:rowOff>168219</xdr:rowOff>
    </xdr:to>
    <xdr:pic>
      <xdr:nvPicPr>
        <xdr:cNvPr id="5" name="Picture 4">
          <a:extLst>
            <a:ext uri="{FF2B5EF4-FFF2-40B4-BE49-F238E27FC236}">
              <a16:creationId xmlns:a16="http://schemas.microsoft.com/office/drawing/2014/main" id="{00000000-0008-0000-1B00-000005000000}"/>
            </a:ext>
          </a:extLst>
        </xdr:cNvPr>
        <xdr:cNvPicPr>
          <a:picLocks noChangeAspect="1"/>
        </xdr:cNvPicPr>
      </xdr:nvPicPr>
      <xdr:blipFill>
        <a:blip xmlns:r="http://schemas.openxmlformats.org/officeDocument/2006/relationships" r:embed="rId1"/>
        <a:stretch>
          <a:fillRect/>
        </a:stretch>
      </xdr:blipFill>
      <xdr:spPr>
        <a:xfrm>
          <a:off x="17211675" y="10896601"/>
          <a:ext cx="3557150" cy="3025718"/>
        </a:xfrm>
        <a:prstGeom prst="rect">
          <a:avLst/>
        </a:prstGeom>
      </xdr:spPr>
    </xdr:pic>
    <xdr:clientData/>
  </xdr:twoCellAnchor>
  <xdr:twoCellAnchor editAs="oneCell">
    <xdr:from>
      <xdr:col>4</xdr:col>
      <xdr:colOff>1247775</xdr:colOff>
      <xdr:row>47</xdr:row>
      <xdr:rowOff>76200</xdr:rowOff>
    </xdr:from>
    <xdr:to>
      <xdr:col>10</xdr:col>
      <xdr:colOff>1296071</xdr:colOff>
      <xdr:row>66</xdr:row>
      <xdr:rowOff>35378</xdr:rowOff>
    </xdr:to>
    <xdr:pic>
      <xdr:nvPicPr>
        <xdr:cNvPr id="8" name="Picture 7">
          <a:extLst>
            <a:ext uri="{FF2B5EF4-FFF2-40B4-BE49-F238E27FC236}">
              <a16:creationId xmlns:a16="http://schemas.microsoft.com/office/drawing/2014/main" id="{00000000-0008-0000-1B00-000008000000}"/>
            </a:ext>
          </a:extLst>
        </xdr:cNvPr>
        <xdr:cNvPicPr>
          <a:picLocks noChangeAspect="1"/>
        </xdr:cNvPicPr>
      </xdr:nvPicPr>
      <xdr:blipFill>
        <a:blip xmlns:r="http://schemas.openxmlformats.org/officeDocument/2006/relationships" r:embed="rId2"/>
        <a:stretch>
          <a:fillRect/>
        </a:stretch>
      </xdr:blipFill>
      <xdr:spPr>
        <a:xfrm>
          <a:off x="5762625" y="7648575"/>
          <a:ext cx="10333936" cy="3578678"/>
        </a:xfrm>
        <a:prstGeom prst="rect">
          <a:avLst/>
        </a:prstGeom>
      </xdr:spPr>
    </xdr:pic>
    <xdr:clientData/>
  </xdr:twoCellAnchor>
  <xdr:twoCellAnchor editAs="oneCell">
    <xdr:from>
      <xdr:col>8</xdr:col>
      <xdr:colOff>247649</xdr:colOff>
      <xdr:row>88</xdr:row>
      <xdr:rowOff>42160</xdr:rowOff>
    </xdr:from>
    <xdr:to>
      <xdr:col>10</xdr:col>
      <xdr:colOff>621263</xdr:colOff>
      <xdr:row>89</xdr:row>
      <xdr:rowOff>9525</xdr:rowOff>
    </xdr:to>
    <xdr:pic>
      <xdr:nvPicPr>
        <xdr:cNvPr id="6" name="Picture 5">
          <a:extLst>
            <a:ext uri="{FF2B5EF4-FFF2-40B4-BE49-F238E27FC236}">
              <a16:creationId xmlns:a16="http://schemas.microsoft.com/office/drawing/2014/main" id="{00000000-0008-0000-1B00-000006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935074" y="9348085"/>
          <a:ext cx="3935965" cy="186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257175</xdr:colOff>
      <xdr:row>89</xdr:row>
      <xdr:rowOff>28575</xdr:rowOff>
    </xdr:from>
    <xdr:to>
      <xdr:col>10</xdr:col>
      <xdr:colOff>628649</xdr:colOff>
      <xdr:row>90</xdr:row>
      <xdr:rowOff>20650</xdr:rowOff>
    </xdr:to>
    <xdr:pic>
      <xdr:nvPicPr>
        <xdr:cNvPr id="10" name="Picture 9">
          <a:extLst>
            <a:ext uri="{FF2B5EF4-FFF2-40B4-BE49-F238E27FC236}">
              <a16:creationId xmlns:a16="http://schemas.microsoft.com/office/drawing/2014/main" id="{00000000-0008-0000-1B00-00000A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3944600" y="9553575"/>
          <a:ext cx="3933825" cy="1834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4</xdr:col>
      <xdr:colOff>0</xdr:colOff>
      <xdr:row>29</xdr:row>
      <xdr:rowOff>180975</xdr:rowOff>
    </xdr:from>
    <xdr:to>
      <xdr:col>9</xdr:col>
      <xdr:colOff>352425</xdr:colOff>
      <xdr:row>41</xdr:row>
      <xdr:rowOff>0</xdr:rowOff>
    </xdr:to>
    <xdr:pic>
      <xdr:nvPicPr>
        <xdr:cNvPr id="3" name="Picture 2">
          <a:extLst>
            <a:ext uri="{FF2B5EF4-FFF2-40B4-BE49-F238E27FC236}">
              <a16:creationId xmlns:a16="http://schemas.microsoft.com/office/drawing/2014/main" id="{00000000-0008-0000-1C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438400" y="7781925"/>
          <a:ext cx="11258550" cy="3781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2</xdr:col>
      <xdr:colOff>74612</xdr:colOff>
      <xdr:row>91</xdr:row>
      <xdr:rowOff>142876</xdr:rowOff>
    </xdr:from>
    <xdr:to>
      <xdr:col>7</xdr:col>
      <xdr:colOff>1406881</xdr:colOff>
      <xdr:row>117</xdr:row>
      <xdr:rowOff>145438</xdr:rowOff>
    </xdr:to>
    <xdr:pic>
      <xdr:nvPicPr>
        <xdr:cNvPr id="3" name="Picture 2">
          <a:extLst>
            <a:ext uri="{FF2B5EF4-FFF2-40B4-BE49-F238E27FC236}">
              <a16:creationId xmlns:a16="http://schemas.microsoft.com/office/drawing/2014/main" id="{00000000-0008-0000-1D00-000003000000}"/>
            </a:ext>
          </a:extLst>
        </xdr:cNvPr>
        <xdr:cNvPicPr>
          <a:picLocks noChangeAspect="1"/>
        </xdr:cNvPicPr>
      </xdr:nvPicPr>
      <xdr:blipFill>
        <a:blip xmlns:r="http://schemas.openxmlformats.org/officeDocument/2006/relationships" r:embed="rId1"/>
        <a:stretch>
          <a:fillRect/>
        </a:stretch>
      </xdr:blipFill>
      <xdr:spPr>
        <a:xfrm>
          <a:off x="684212" y="17554576"/>
          <a:ext cx="9838094" cy="4955562"/>
        </a:xfrm>
        <a:prstGeom prst="rect">
          <a:avLst/>
        </a:prstGeom>
      </xdr:spPr>
    </xdr:pic>
    <xdr:clientData/>
  </xdr:twoCellAnchor>
  <xdr:twoCellAnchor editAs="oneCell">
    <xdr:from>
      <xdr:col>16</xdr:col>
      <xdr:colOff>381000</xdr:colOff>
      <xdr:row>51</xdr:row>
      <xdr:rowOff>171450</xdr:rowOff>
    </xdr:from>
    <xdr:to>
      <xdr:col>31</xdr:col>
      <xdr:colOff>149450</xdr:colOff>
      <xdr:row>86</xdr:row>
      <xdr:rowOff>147283</xdr:rowOff>
    </xdr:to>
    <xdr:pic>
      <xdr:nvPicPr>
        <xdr:cNvPr id="15" name="Picture 14">
          <a:extLst>
            <a:ext uri="{FF2B5EF4-FFF2-40B4-BE49-F238E27FC236}">
              <a16:creationId xmlns:a16="http://schemas.microsoft.com/office/drawing/2014/main" id="{00000000-0008-0000-1D00-00000F000000}"/>
            </a:ext>
          </a:extLst>
        </xdr:cNvPr>
        <xdr:cNvPicPr>
          <a:picLocks noChangeAspect="1"/>
        </xdr:cNvPicPr>
      </xdr:nvPicPr>
      <xdr:blipFill>
        <a:blip xmlns:r="http://schemas.openxmlformats.org/officeDocument/2006/relationships" r:embed="rId2"/>
        <a:stretch>
          <a:fillRect/>
        </a:stretch>
      </xdr:blipFill>
      <xdr:spPr>
        <a:xfrm>
          <a:off x="11134725" y="9829800"/>
          <a:ext cx="9483950" cy="6652858"/>
        </a:xfrm>
        <a:prstGeom prst="rect">
          <a:avLst/>
        </a:prstGeom>
      </xdr:spPr>
    </xdr:pic>
    <xdr:clientData/>
  </xdr:twoCellAnchor>
  <xdr:twoCellAnchor editAs="oneCell">
    <xdr:from>
      <xdr:col>16</xdr:col>
      <xdr:colOff>352426</xdr:colOff>
      <xdr:row>88</xdr:row>
      <xdr:rowOff>180976</xdr:rowOff>
    </xdr:from>
    <xdr:to>
      <xdr:col>31</xdr:col>
      <xdr:colOff>245557</xdr:colOff>
      <xdr:row>109</xdr:row>
      <xdr:rowOff>9526</xdr:rowOff>
    </xdr:to>
    <xdr:pic>
      <xdr:nvPicPr>
        <xdr:cNvPr id="16" name="Picture 15">
          <a:extLst>
            <a:ext uri="{FF2B5EF4-FFF2-40B4-BE49-F238E27FC236}">
              <a16:creationId xmlns:a16="http://schemas.microsoft.com/office/drawing/2014/main" id="{00000000-0008-0000-1D00-000010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1106151" y="16887826"/>
          <a:ext cx="9608631" cy="3829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38099</xdr:colOff>
      <xdr:row>53</xdr:row>
      <xdr:rowOff>57149</xdr:rowOff>
    </xdr:from>
    <xdr:to>
      <xdr:col>7</xdr:col>
      <xdr:colOff>123826</xdr:colOff>
      <xdr:row>84</xdr:row>
      <xdr:rowOff>83029</xdr:rowOff>
    </xdr:to>
    <xdr:pic>
      <xdr:nvPicPr>
        <xdr:cNvPr id="6" name="Picture 5">
          <a:extLst>
            <a:ext uri="{FF2B5EF4-FFF2-40B4-BE49-F238E27FC236}">
              <a16:creationId xmlns:a16="http://schemas.microsoft.com/office/drawing/2014/main" id="{00000000-0008-0000-1D00-000006000000}"/>
            </a:ext>
          </a:extLst>
        </xdr:cNvPr>
        <xdr:cNvPicPr>
          <a:picLocks noChangeAspect="1"/>
        </xdr:cNvPicPr>
      </xdr:nvPicPr>
      <xdr:blipFill>
        <a:blip xmlns:r="http://schemas.openxmlformats.org/officeDocument/2006/relationships" r:embed="rId4"/>
        <a:stretch>
          <a:fillRect/>
        </a:stretch>
      </xdr:blipFill>
      <xdr:spPr>
        <a:xfrm>
          <a:off x="1257299" y="11401424"/>
          <a:ext cx="8591552" cy="5931380"/>
        </a:xfrm>
        <a:prstGeom prst="rect">
          <a:avLst/>
        </a:prstGeom>
        <a:effectLst>
          <a:glow rad="38100">
            <a:srgbClr val="C00000"/>
          </a:glow>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1104900</xdr:colOff>
      <xdr:row>38</xdr:row>
      <xdr:rowOff>95250</xdr:rowOff>
    </xdr:from>
    <xdr:to>
      <xdr:col>8</xdr:col>
      <xdr:colOff>1333500</xdr:colOff>
      <xdr:row>51</xdr:row>
      <xdr:rowOff>13365</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1"/>
        <a:stretch>
          <a:fillRect/>
        </a:stretch>
      </xdr:blipFill>
      <xdr:spPr>
        <a:xfrm>
          <a:off x="3676650" y="8048625"/>
          <a:ext cx="10067925" cy="2394615"/>
        </a:xfrm>
        <a:prstGeom prst="rect">
          <a:avLst/>
        </a:prstGeom>
      </xdr:spPr>
    </xdr:pic>
    <xdr:clientData/>
  </xdr:twoCellAnchor>
  <xdr:twoCellAnchor editAs="oneCell">
    <xdr:from>
      <xdr:col>3</xdr:col>
      <xdr:colOff>1085851</xdr:colOff>
      <xdr:row>9</xdr:row>
      <xdr:rowOff>171450</xdr:rowOff>
    </xdr:from>
    <xdr:to>
      <xdr:col>8</xdr:col>
      <xdr:colOff>1223570</xdr:colOff>
      <xdr:row>22</xdr:row>
      <xdr:rowOff>19050</xdr:rowOff>
    </xdr:to>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2"/>
        <a:stretch>
          <a:fillRect/>
        </a:stretch>
      </xdr:blipFill>
      <xdr:spPr>
        <a:xfrm>
          <a:off x="3524251" y="2219325"/>
          <a:ext cx="9977044" cy="2343150"/>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13</xdr:col>
      <xdr:colOff>841375</xdr:colOff>
      <xdr:row>34</xdr:row>
      <xdr:rowOff>217715</xdr:rowOff>
    </xdr:from>
    <xdr:to>
      <xdr:col>14</xdr:col>
      <xdr:colOff>1903553</xdr:colOff>
      <xdr:row>44</xdr:row>
      <xdr:rowOff>164322</xdr:rowOff>
    </xdr:to>
    <xdr:pic>
      <xdr:nvPicPr>
        <xdr:cNvPr id="3" name="Picture 2">
          <a:extLst>
            <a:ext uri="{FF2B5EF4-FFF2-40B4-BE49-F238E27FC236}">
              <a16:creationId xmlns:a16="http://schemas.microsoft.com/office/drawing/2014/main" id="{00000000-0008-0000-1E00-000003000000}"/>
            </a:ext>
          </a:extLst>
        </xdr:cNvPr>
        <xdr:cNvPicPr>
          <a:picLocks noChangeAspect="1"/>
        </xdr:cNvPicPr>
      </xdr:nvPicPr>
      <xdr:blipFill>
        <a:blip xmlns:r="http://schemas.openxmlformats.org/officeDocument/2006/relationships" r:embed="rId1"/>
        <a:stretch>
          <a:fillRect/>
        </a:stretch>
      </xdr:blipFill>
      <xdr:spPr>
        <a:xfrm>
          <a:off x="27143982" y="9456965"/>
          <a:ext cx="3116857" cy="2668036"/>
        </a:xfrm>
        <a:prstGeom prst="rect">
          <a:avLst/>
        </a:prstGeom>
      </xdr:spPr>
    </xdr:pic>
    <xdr:clientData/>
  </xdr:twoCellAnchor>
  <xdr:twoCellAnchor editAs="oneCell">
    <xdr:from>
      <xdr:col>13</xdr:col>
      <xdr:colOff>857250</xdr:colOff>
      <xdr:row>60</xdr:row>
      <xdr:rowOff>166687</xdr:rowOff>
    </xdr:from>
    <xdr:to>
      <xdr:col>14</xdr:col>
      <xdr:colOff>1909903</xdr:colOff>
      <xdr:row>70</xdr:row>
      <xdr:rowOff>123499</xdr:rowOff>
    </xdr:to>
    <xdr:pic>
      <xdr:nvPicPr>
        <xdr:cNvPr id="4" name="Picture 3">
          <a:extLst>
            <a:ext uri="{FF2B5EF4-FFF2-40B4-BE49-F238E27FC236}">
              <a16:creationId xmlns:a16="http://schemas.microsoft.com/office/drawing/2014/main" id="{00000000-0008-0000-1E00-000004000000}"/>
            </a:ext>
          </a:extLst>
        </xdr:cNvPr>
        <xdr:cNvPicPr>
          <a:picLocks noChangeAspect="1"/>
        </xdr:cNvPicPr>
      </xdr:nvPicPr>
      <xdr:blipFill>
        <a:blip xmlns:r="http://schemas.openxmlformats.org/officeDocument/2006/relationships" r:embed="rId1"/>
        <a:stretch>
          <a:fillRect/>
        </a:stretch>
      </xdr:blipFill>
      <xdr:spPr>
        <a:xfrm>
          <a:off x="27098625" y="14470062"/>
          <a:ext cx="3110053" cy="2655562"/>
        </a:xfrm>
        <a:prstGeom prst="rect">
          <a:avLst/>
        </a:prstGeom>
      </xdr:spPr>
    </xdr:pic>
    <xdr:clientData/>
  </xdr:twoCellAnchor>
  <xdr:twoCellAnchor editAs="oneCell">
    <xdr:from>
      <xdr:col>13</xdr:col>
      <xdr:colOff>846365</xdr:colOff>
      <xdr:row>84</xdr:row>
      <xdr:rowOff>87766</xdr:rowOff>
    </xdr:from>
    <xdr:to>
      <xdr:col>14</xdr:col>
      <xdr:colOff>1899018</xdr:colOff>
      <xdr:row>97</xdr:row>
      <xdr:rowOff>112615</xdr:rowOff>
    </xdr:to>
    <xdr:pic>
      <xdr:nvPicPr>
        <xdr:cNvPr id="5" name="Picture 4">
          <a:extLst>
            <a:ext uri="{FF2B5EF4-FFF2-40B4-BE49-F238E27FC236}">
              <a16:creationId xmlns:a16="http://schemas.microsoft.com/office/drawing/2014/main" id="{00000000-0008-0000-1E00-000005000000}"/>
            </a:ext>
          </a:extLst>
        </xdr:cNvPr>
        <xdr:cNvPicPr>
          <a:picLocks noChangeAspect="1"/>
        </xdr:cNvPicPr>
      </xdr:nvPicPr>
      <xdr:blipFill>
        <a:blip xmlns:r="http://schemas.openxmlformats.org/officeDocument/2006/relationships" r:embed="rId1"/>
        <a:stretch>
          <a:fillRect/>
        </a:stretch>
      </xdr:blipFill>
      <xdr:spPr>
        <a:xfrm>
          <a:off x="27148972" y="20825052"/>
          <a:ext cx="3107332" cy="2678241"/>
        </a:xfrm>
        <a:prstGeom prst="rect">
          <a:avLst/>
        </a:prstGeom>
      </xdr:spPr>
    </xdr:pic>
    <xdr:clientData/>
  </xdr:twoCellAnchor>
  <xdr:twoCellAnchor editAs="oneCell">
    <xdr:from>
      <xdr:col>3</xdr:col>
      <xdr:colOff>2027464</xdr:colOff>
      <xdr:row>2</xdr:row>
      <xdr:rowOff>0</xdr:rowOff>
    </xdr:from>
    <xdr:to>
      <xdr:col>9</xdr:col>
      <xdr:colOff>33328</xdr:colOff>
      <xdr:row>15</xdr:row>
      <xdr:rowOff>40821</xdr:rowOff>
    </xdr:to>
    <xdr:pic>
      <xdr:nvPicPr>
        <xdr:cNvPr id="7" name="Picture 6">
          <a:extLst>
            <a:ext uri="{FF2B5EF4-FFF2-40B4-BE49-F238E27FC236}">
              <a16:creationId xmlns:a16="http://schemas.microsoft.com/office/drawing/2014/main" id="{00000000-0008-0000-1E00-000007000000}"/>
            </a:ext>
          </a:extLst>
        </xdr:cNvPr>
        <xdr:cNvPicPr>
          <a:picLocks noChangeAspect="1"/>
        </xdr:cNvPicPr>
      </xdr:nvPicPr>
      <xdr:blipFill>
        <a:blip xmlns:r="http://schemas.openxmlformats.org/officeDocument/2006/relationships" r:embed="rId2"/>
        <a:stretch>
          <a:fillRect/>
        </a:stretch>
      </xdr:blipFill>
      <xdr:spPr>
        <a:xfrm>
          <a:off x="7783285" y="544286"/>
          <a:ext cx="10333936" cy="3578678"/>
        </a:xfrm>
        <a:prstGeom prst="rect">
          <a:avLst/>
        </a:prstGeom>
      </xdr:spPr>
    </xdr:pic>
    <xdr:clientData/>
  </xdr:twoCellAnchor>
  <xdr:twoCellAnchor editAs="oneCell">
    <xdr:from>
      <xdr:col>9</xdr:col>
      <xdr:colOff>353785</xdr:colOff>
      <xdr:row>2</xdr:row>
      <xdr:rowOff>0</xdr:rowOff>
    </xdr:from>
    <xdr:to>
      <xdr:col>14</xdr:col>
      <xdr:colOff>1732383</xdr:colOff>
      <xdr:row>15</xdr:row>
      <xdr:rowOff>13226</xdr:rowOff>
    </xdr:to>
    <xdr:pic>
      <xdr:nvPicPr>
        <xdr:cNvPr id="11" name="Picture 10">
          <a:extLst>
            <a:ext uri="{FF2B5EF4-FFF2-40B4-BE49-F238E27FC236}">
              <a16:creationId xmlns:a16="http://schemas.microsoft.com/office/drawing/2014/main" id="{00000000-0008-0000-1E00-00000B000000}"/>
            </a:ext>
          </a:extLst>
        </xdr:cNvPr>
        <xdr:cNvPicPr>
          <a:picLocks noChangeAspect="1"/>
        </xdr:cNvPicPr>
      </xdr:nvPicPr>
      <xdr:blipFill>
        <a:blip xmlns:r="http://schemas.openxmlformats.org/officeDocument/2006/relationships" r:embed="rId3"/>
        <a:stretch>
          <a:fillRect/>
        </a:stretch>
      </xdr:blipFill>
      <xdr:spPr>
        <a:xfrm>
          <a:off x="18437678" y="544286"/>
          <a:ext cx="11651991" cy="3551083"/>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24</xdr:col>
      <xdr:colOff>611717</xdr:colOff>
      <xdr:row>48</xdr:row>
      <xdr:rowOff>65617</xdr:rowOff>
    </xdr:from>
    <xdr:to>
      <xdr:col>40</xdr:col>
      <xdr:colOff>387166</xdr:colOff>
      <xdr:row>66</xdr:row>
      <xdr:rowOff>62009</xdr:rowOff>
    </xdr:to>
    <xdr:pic>
      <xdr:nvPicPr>
        <xdr:cNvPr id="2" name="Picture 1">
          <a:extLst>
            <a:ext uri="{FF2B5EF4-FFF2-40B4-BE49-F238E27FC236}">
              <a16:creationId xmlns:a16="http://schemas.microsoft.com/office/drawing/2014/main" id="{00000000-0008-0000-1F00-000002000000}"/>
            </a:ext>
          </a:extLst>
        </xdr:cNvPr>
        <xdr:cNvPicPr>
          <a:picLocks noChangeAspect="1"/>
        </xdr:cNvPicPr>
      </xdr:nvPicPr>
      <xdr:blipFill>
        <a:blip xmlns:r="http://schemas.openxmlformats.org/officeDocument/2006/relationships" r:embed="rId1"/>
        <a:stretch>
          <a:fillRect/>
        </a:stretch>
      </xdr:blipFill>
      <xdr:spPr>
        <a:xfrm>
          <a:off x="14116050" y="7802034"/>
          <a:ext cx="10010591" cy="3493126"/>
        </a:xfrm>
        <a:prstGeom prst="rect">
          <a:avLst/>
        </a:prstGeom>
      </xdr:spPr>
    </xdr:pic>
    <xdr:clientData/>
  </xdr:twoCellAnchor>
  <xdr:twoCellAnchor editAs="oneCell">
    <xdr:from>
      <xdr:col>3</xdr:col>
      <xdr:colOff>148168</xdr:colOff>
      <xdr:row>51</xdr:row>
      <xdr:rowOff>182034</xdr:rowOff>
    </xdr:from>
    <xdr:to>
      <xdr:col>10</xdr:col>
      <xdr:colOff>585839</xdr:colOff>
      <xdr:row>99</xdr:row>
      <xdr:rowOff>114223</xdr:rowOff>
    </xdr:to>
    <xdr:pic>
      <xdr:nvPicPr>
        <xdr:cNvPr id="4" name="Picture 3">
          <a:extLst>
            <a:ext uri="{FF2B5EF4-FFF2-40B4-BE49-F238E27FC236}">
              <a16:creationId xmlns:a16="http://schemas.microsoft.com/office/drawing/2014/main" id="{00000000-0008-0000-1F00-000004000000}"/>
            </a:ext>
          </a:extLst>
        </xdr:cNvPr>
        <xdr:cNvPicPr>
          <a:picLocks noChangeAspect="1"/>
        </xdr:cNvPicPr>
      </xdr:nvPicPr>
      <xdr:blipFill>
        <a:blip xmlns:r="http://schemas.openxmlformats.org/officeDocument/2006/relationships" r:embed="rId2"/>
        <a:stretch>
          <a:fillRect/>
        </a:stretch>
      </xdr:blipFill>
      <xdr:spPr>
        <a:xfrm>
          <a:off x="3015193" y="12012084"/>
          <a:ext cx="12210571" cy="9085714"/>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16</xdr:col>
      <xdr:colOff>488156</xdr:colOff>
      <xdr:row>32</xdr:row>
      <xdr:rowOff>178594</xdr:rowOff>
    </xdr:from>
    <xdr:to>
      <xdr:col>18</xdr:col>
      <xdr:colOff>24746</xdr:colOff>
      <xdr:row>43</xdr:row>
      <xdr:rowOff>71113</xdr:rowOff>
    </xdr:to>
    <xdr:pic>
      <xdr:nvPicPr>
        <xdr:cNvPr id="2" name="Picture 1">
          <a:extLst>
            <a:ext uri="{FF2B5EF4-FFF2-40B4-BE49-F238E27FC236}">
              <a16:creationId xmlns:a16="http://schemas.microsoft.com/office/drawing/2014/main" id="{00000000-0008-0000-2000-000002000000}"/>
            </a:ext>
          </a:extLst>
        </xdr:cNvPr>
        <xdr:cNvPicPr>
          <a:picLocks noChangeAspect="1"/>
        </xdr:cNvPicPr>
      </xdr:nvPicPr>
      <xdr:blipFill>
        <a:blip xmlns:r="http://schemas.openxmlformats.org/officeDocument/2006/relationships" r:embed="rId1"/>
        <a:stretch>
          <a:fillRect/>
        </a:stretch>
      </xdr:blipFill>
      <xdr:spPr>
        <a:xfrm>
          <a:off x="26705719" y="5429250"/>
          <a:ext cx="3108465" cy="2642862"/>
        </a:xfrm>
        <a:prstGeom prst="rect">
          <a:avLst/>
        </a:prstGeom>
      </xdr:spPr>
    </xdr:pic>
    <xdr:clientData/>
  </xdr:twoCellAnchor>
  <xdr:twoCellAnchor editAs="oneCell">
    <xdr:from>
      <xdr:col>13</xdr:col>
      <xdr:colOff>841375</xdr:colOff>
      <xdr:row>47</xdr:row>
      <xdr:rowOff>0</xdr:rowOff>
    </xdr:from>
    <xdr:to>
      <xdr:col>15</xdr:col>
      <xdr:colOff>389078</xdr:colOff>
      <xdr:row>57</xdr:row>
      <xdr:rowOff>142550</xdr:rowOff>
    </xdr:to>
    <xdr:pic>
      <xdr:nvPicPr>
        <xdr:cNvPr id="3" name="Picture 2">
          <a:extLst>
            <a:ext uri="{FF2B5EF4-FFF2-40B4-BE49-F238E27FC236}">
              <a16:creationId xmlns:a16="http://schemas.microsoft.com/office/drawing/2014/main" id="{00000000-0008-0000-2000-000003000000}"/>
            </a:ext>
          </a:extLst>
        </xdr:cNvPr>
        <xdr:cNvPicPr>
          <a:picLocks noChangeAspect="1"/>
        </xdr:cNvPicPr>
      </xdr:nvPicPr>
      <xdr:blipFill>
        <a:blip xmlns:r="http://schemas.openxmlformats.org/officeDocument/2006/relationships" r:embed="rId1"/>
        <a:stretch>
          <a:fillRect/>
        </a:stretch>
      </xdr:blipFill>
      <xdr:spPr>
        <a:xfrm>
          <a:off x="27063700" y="7667625"/>
          <a:ext cx="3110053" cy="2619050"/>
        </a:xfrm>
        <a:prstGeom prst="rect">
          <a:avLst/>
        </a:prstGeom>
      </xdr:spPr>
    </xdr:pic>
    <xdr:clientData/>
  </xdr:twoCellAnchor>
  <xdr:twoCellAnchor editAs="oneCell">
    <xdr:from>
      <xdr:col>13</xdr:col>
      <xdr:colOff>857250</xdr:colOff>
      <xdr:row>72</xdr:row>
      <xdr:rowOff>166687</xdr:rowOff>
    </xdr:from>
    <xdr:to>
      <xdr:col>15</xdr:col>
      <xdr:colOff>395428</xdr:colOff>
      <xdr:row>85</xdr:row>
      <xdr:rowOff>94923</xdr:rowOff>
    </xdr:to>
    <xdr:pic>
      <xdr:nvPicPr>
        <xdr:cNvPr id="4" name="Picture 3">
          <a:extLst>
            <a:ext uri="{FF2B5EF4-FFF2-40B4-BE49-F238E27FC236}">
              <a16:creationId xmlns:a16="http://schemas.microsoft.com/office/drawing/2014/main" id="{00000000-0008-0000-2000-000004000000}"/>
            </a:ext>
          </a:extLst>
        </xdr:cNvPr>
        <xdr:cNvPicPr>
          <a:picLocks noChangeAspect="1"/>
        </xdr:cNvPicPr>
      </xdr:nvPicPr>
      <xdr:blipFill>
        <a:blip xmlns:r="http://schemas.openxmlformats.org/officeDocument/2006/relationships" r:embed="rId1"/>
        <a:stretch>
          <a:fillRect/>
        </a:stretch>
      </xdr:blipFill>
      <xdr:spPr>
        <a:xfrm>
          <a:off x="27079575" y="14501812"/>
          <a:ext cx="3100528" cy="2623812"/>
        </a:xfrm>
        <a:prstGeom prst="rect">
          <a:avLst/>
        </a:prstGeom>
      </xdr:spPr>
    </xdr:pic>
    <xdr:clientData/>
  </xdr:twoCellAnchor>
  <xdr:twoCellAnchor editAs="oneCell">
    <xdr:from>
      <xdr:col>13</xdr:col>
      <xdr:colOff>846365</xdr:colOff>
      <xdr:row>96</xdr:row>
      <xdr:rowOff>87766</xdr:rowOff>
    </xdr:from>
    <xdr:to>
      <xdr:col>15</xdr:col>
      <xdr:colOff>384543</xdr:colOff>
      <xdr:row>110</xdr:row>
      <xdr:rowOff>162621</xdr:rowOff>
    </xdr:to>
    <xdr:pic>
      <xdr:nvPicPr>
        <xdr:cNvPr id="5" name="Picture 4">
          <a:extLst>
            <a:ext uri="{FF2B5EF4-FFF2-40B4-BE49-F238E27FC236}">
              <a16:creationId xmlns:a16="http://schemas.microsoft.com/office/drawing/2014/main" id="{00000000-0008-0000-2000-000005000000}"/>
            </a:ext>
          </a:extLst>
        </xdr:cNvPr>
        <xdr:cNvPicPr>
          <a:picLocks noChangeAspect="1"/>
        </xdr:cNvPicPr>
      </xdr:nvPicPr>
      <xdr:blipFill>
        <a:blip xmlns:r="http://schemas.openxmlformats.org/officeDocument/2006/relationships" r:embed="rId1"/>
        <a:stretch>
          <a:fillRect/>
        </a:stretch>
      </xdr:blipFill>
      <xdr:spPr>
        <a:xfrm>
          <a:off x="27068690" y="20461741"/>
          <a:ext cx="3100528" cy="2729948"/>
        </a:xfrm>
        <a:prstGeom prst="rect">
          <a:avLst/>
        </a:prstGeom>
      </xdr:spPr>
    </xdr:pic>
    <xdr:clientData/>
  </xdr:twoCellAnchor>
  <xdr:twoCellAnchor editAs="oneCell">
    <xdr:from>
      <xdr:col>4</xdr:col>
      <xdr:colOff>1764880</xdr:colOff>
      <xdr:row>1</xdr:row>
      <xdr:rowOff>59531</xdr:rowOff>
    </xdr:from>
    <xdr:to>
      <xdr:col>10</xdr:col>
      <xdr:colOff>1608483</xdr:colOff>
      <xdr:row>16</xdr:row>
      <xdr:rowOff>40049</xdr:rowOff>
    </xdr:to>
    <xdr:pic>
      <xdr:nvPicPr>
        <xdr:cNvPr id="6" name="Picture 5">
          <a:extLst>
            <a:ext uri="{FF2B5EF4-FFF2-40B4-BE49-F238E27FC236}">
              <a16:creationId xmlns:a16="http://schemas.microsoft.com/office/drawing/2014/main" id="{00000000-0008-0000-2000-000006000000}"/>
            </a:ext>
          </a:extLst>
        </xdr:cNvPr>
        <xdr:cNvPicPr>
          <a:picLocks noChangeAspect="1"/>
        </xdr:cNvPicPr>
      </xdr:nvPicPr>
      <xdr:blipFill>
        <a:blip xmlns:r="http://schemas.openxmlformats.org/officeDocument/2006/relationships" r:embed="rId2"/>
        <a:stretch>
          <a:fillRect/>
        </a:stretch>
      </xdr:blipFill>
      <xdr:spPr>
        <a:xfrm>
          <a:off x="6551193" y="631031"/>
          <a:ext cx="10559228" cy="3671456"/>
        </a:xfrm>
        <a:prstGeom prst="rect">
          <a:avLst/>
        </a:prstGeom>
      </xdr:spPr>
    </xdr:pic>
    <xdr:clientData/>
  </xdr:twoCellAnchor>
  <xdr:twoCellAnchor editAs="oneCell">
    <xdr:from>
      <xdr:col>10</xdr:col>
      <xdr:colOff>1774031</xdr:colOff>
      <xdr:row>1</xdr:row>
      <xdr:rowOff>107157</xdr:rowOff>
    </xdr:from>
    <xdr:to>
      <xdr:col>15</xdr:col>
      <xdr:colOff>893117</xdr:colOff>
      <xdr:row>16</xdr:row>
      <xdr:rowOff>25087</xdr:rowOff>
    </xdr:to>
    <xdr:pic>
      <xdr:nvPicPr>
        <xdr:cNvPr id="8" name="Picture 7">
          <a:extLst>
            <a:ext uri="{FF2B5EF4-FFF2-40B4-BE49-F238E27FC236}">
              <a16:creationId xmlns:a16="http://schemas.microsoft.com/office/drawing/2014/main" id="{00000000-0008-0000-2000-000008000000}"/>
            </a:ext>
          </a:extLst>
        </xdr:cNvPr>
        <xdr:cNvPicPr>
          <a:picLocks noChangeAspect="1"/>
        </xdr:cNvPicPr>
      </xdr:nvPicPr>
      <xdr:blipFill>
        <a:blip xmlns:r="http://schemas.openxmlformats.org/officeDocument/2006/relationships" r:embed="rId3"/>
        <a:stretch>
          <a:fillRect/>
        </a:stretch>
      </xdr:blipFill>
      <xdr:spPr>
        <a:xfrm>
          <a:off x="17275969" y="678657"/>
          <a:ext cx="8048774" cy="3608868"/>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11</xdr:col>
      <xdr:colOff>180975</xdr:colOff>
      <xdr:row>49</xdr:row>
      <xdr:rowOff>19051</xdr:rowOff>
    </xdr:from>
    <xdr:to>
      <xdr:col>12</xdr:col>
      <xdr:colOff>1798653</xdr:colOff>
      <xdr:row>64</xdr:row>
      <xdr:rowOff>187269</xdr:rowOff>
    </xdr:to>
    <xdr:pic>
      <xdr:nvPicPr>
        <xdr:cNvPr id="2" name="Picture 1">
          <a:extLst>
            <a:ext uri="{FF2B5EF4-FFF2-40B4-BE49-F238E27FC236}">
              <a16:creationId xmlns:a16="http://schemas.microsoft.com/office/drawing/2014/main" id="{00000000-0008-0000-2100-000002000000}"/>
            </a:ext>
          </a:extLst>
        </xdr:cNvPr>
        <xdr:cNvPicPr>
          <a:picLocks noChangeAspect="1"/>
        </xdr:cNvPicPr>
      </xdr:nvPicPr>
      <xdr:blipFill>
        <a:blip xmlns:r="http://schemas.openxmlformats.org/officeDocument/2006/relationships" r:embed="rId1"/>
        <a:stretch>
          <a:fillRect/>
        </a:stretch>
      </xdr:blipFill>
      <xdr:spPr>
        <a:xfrm>
          <a:off x="20278725" y="11029951"/>
          <a:ext cx="3532203" cy="3025718"/>
        </a:xfrm>
        <a:prstGeom prst="rect">
          <a:avLst/>
        </a:prstGeom>
      </xdr:spPr>
    </xdr:pic>
    <xdr:clientData/>
  </xdr:twoCellAnchor>
  <xdr:twoCellAnchor editAs="oneCell">
    <xdr:from>
      <xdr:col>7</xdr:col>
      <xdr:colOff>247649</xdr:colOff>
      <xdr:row>88</xdr:row>
      <xdr:rowOff>42160</xdr:rowOff>
    </xdr:from>
    <xdr:to>
      <xdr:col>9</xdr:col>
      <xdr:colOff>621263</xdr:colOff>
      <xdr:row>89</xdr:row>
      <xdr:rowOff>38100</xdr:rowOff>
    </xdr:to>
    <xdr:pic>
      <xdr:nvPicPr>
        <xdr:cNvPr id="4" name="Picture 3">
          <a:extLst>
            <a:ext uri="{FF2B5EF4-FFF2-40B4-BE49-F238E27FC236}">
              <a16:creationId xmlns:a16="http://schemas.microsoft.com/office/drawing/2014/main" id="{00000000-0008-0000-21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5001874" y="18520660"/>
          <a:ext cx="3935964" cy="186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257175</xdr:colOff>
      <xdr:row>89</xdr:row>
      <xdr:rowOff>28575</xdr:rowOff>
    </xdr:from>
    <xdr:to>
      <xdr:col>9</xdr:col>
      <xdr:colOff>628649</xdr:colOff>
      <xdr:row>90</xdr:row>
      <xdr:rowOff>40566</xdr:rowOff>
    </xdr:to>
    <xdr:pic>
      <xdr:nvPicPr>
        <xdr:cNvPr id="5" name="Picture 4">
          <a:extLst>
            <a:ext uri="{FF2B5EF4-FFF2-40B4-BE49-F238E27FC236}">
              <a16:creationId xmlns:a16="http://schemas.microsoft.com/office/drawing/2014/main" id="{00000000-0008-0000-2100-000005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5011400" y="18726150"/>
          <a:ext cx="3933824" cy="1929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47625</xdr:colOff>
      <xdr:row>47</xdr:row>
      <xdr:rowOff>29593</xdr:rowOff>
    </xdr:from>
    <xdr:to>
      <xdr:col>10</xdr:col>
      <xdr:colOff>1495425</xdr:colOff>
      <xdr:row>65</xdr:row>
      <xdr:rowOff>61480</xdr:rowOff>
    </xdr:to>
    <xdr:pic>
      <xdr:nvPicPr>
        <xdr:cNvPr id="6" name="Picture 5">
          <a:extLst>
            <a:ext uri="{FF2B5EF4-FFF2-40B4-BE49-F238E27FC236}">
              <a16:creationId xmlns:a16="http://schemas.microsoft.com/office/drawing/2014/main" id="{00000000-0008-0000-2100-000006000000}"/>
            </a:ext>
          </a:extLst>
        </xdr:cNvPr>
        <xdr:cNvPicPr>
          <a:picLocks noChangeAspect="1"/>
        </xdr:cNvPicPr>
      </xdr:nvPicPr>
      <xdr:blipFill>
        <a:blip xmlns:r="http://schemas.openxmlformats.org/officeDocument/2006/relationships" r:embed="rId4"/>
        <a:stretch>
          <a:fillRect/>
        </a:stretch>
      </xdr:blipFill>
      <xdr:spPr>
        <a:xfrm>
          <a:off x="9858375" y="10659493"/>
          <a:ext cx="9953625" cy="3460887"/>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3</xdr:col>
      <xdr:colOff>47625</xdr:colOff>
      <xdr:row>10</xdr:row>
      <xdr:rowOff>47625</xdr:rowOff>
    </xdr:from>
    <xdr:to>
      <xdr:col>7</xdr:col>
      <xdr:colOff>885825</xdr:colOff>
      <xdr:row>19</xdr:row>
      <xdr:rowOff>180975</xdr:rowOff>
    </xdr:to>
    <xdr:pic>
      <xdr:nvPicPr>
        <xdr:cNvPr id="3" name="Picture 2">
          <a:extLst>
            <a:ext uri="{FF2B5EF4-FFF2-40B4-BE49-F238E27FC236}">
              <a16:creationId xmlns:a16="http://schemas.microsoft.com/office/drawing/2014/main" id="{00000000-0008-0000-22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62175" y="1466850"/>
          <a:ext cx="7600950" cy="1847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9525</xdr:colOff>
      <xdr:row>31</xdr:row>
      <xdr:rowOff>95250</xdr:rowOff>
    </xdr:from>
    <xdr:to>
      <xdr:col>7</xdr:col>
      <xdr:colOff>847725</xdr:colOff>
      <xdr:row>41</xdr:row>
      <xdr:rowOff>76200</xdr:rowOff>
    </xdr:to>
    <xdr:pic>
      <xdr:nvPicPr>
        <xdr:cNvPr id="6" name="Picture 5">
          <a:extLst>
            <a:ext uri="{FF2B5EF4-FFF2-40B4-BE49-F238E27FC236}">
              <a16:creationId xmlns:a16="http://schemas.microsoft.com/office/drawing/2014/main" id="{00000000-0008-0000-2200-000006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295525" y="6457950"/>
          <a:ext cx="7600950" cy="1885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4</xdr:col>
      <xdr:colOff>2819400</xdr:colOff>
      <xdr:row>9</xdr:row>
      <xdr:rowOff>47625</xdr:rowOff>
    </xdr:from>
    <xdr:to>
      <xdr:col>5</xdr:col>
      <xdr:colOff>6445704</xdr:colOff>
      <xdr:row>19</xdr:row>
      <xdr:rowOff>35378</xdr:rowOff>
    </xdr:to>
    <xdr:pic>
      <xdr:nvPicPr>
        <xdr:cNvPr id="2" name="Picture 1">
          <a:extLst>
            <a:ext uri="{FF2B5EF4-FFF2-40B4-BE49-F238E27FC236}">
              <a16:creationId xmlns:a16="http://schemas.microsoft.com/office/drawing/2014/main" id="{00000000-0008-0000-2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972175" y="2019300"/>
          <a:ext cx="7674429" cy="18927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2</xdr:col>
      <xdr:colOff>885825</xdr:colOff>
      <xdr:row>9</xdr:row>
      <xdr:rowOff>0</xdr:rowOff>
    </xdr:from>
    <xdr:to>
      <xdr:col>6</xdr:col>
      <xdr:colOff>704850</xdr:colOff>
      <xdr:row>17</xdr:row>
      <xdr:rowOff>114300</xdr:rowOff>
    </xdr:to>
    <xdr:pic>
      <xdr:nvPicPr>
        <xdr:cNvPr id="2" name="Picture 1">
          <a:extLst>
            <a:ext uri="{FF2B5EF4-FFF2-40B4-BE49-F238E27FC236}">
              <a16:creationId xmlns:a16="http://schemas.microsoft.com/office/drawing/2014/main" id="{00000000-0008-0000-24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105025" y="1885950"/>
          <a:ext cx="7591425" cy="1638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5</xdr:col>
      <xdr:colOff>485775</xdr:colOff>
      <xdr:row>9</xdr:row>
      <xdr:rowOff>9525</xdr:rowOff>
    </xdr:from>
    <xdr:to>
      <xdr:col>5</xdr:col>
      <xdr:colOff>8096250</xdr:colOff>
      <xdr:row>17</xdr:row>
      <xdr:rowOff>133350</xdr:rowOff>
    </xdr:to>
    <xdr:pic>
      <xdr:nvPicPr>
        <xdr:cNvPr id="2" name="Picture 1">
          <a:extLst>
            <a:ext uri="{FF2B5EF4-FFF2-40B4-BE49-F238E27FC236}">
              <a16:creationId xmlns:a16="http://schemas.microsoft.com/office/drawing/2014/main" id="{00000000-0008-0000-25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362700" y="1962150"/>
          <a:ext cx="7610475" cy="164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5</xdr:col>
      <xdr:colOff>47625</xdr:colOff>
      <xdr:row>9</xdr:row>
      <xdr:rowOff>85725</xdr:rowOff>
    </xdr:from>
    <xdr:to>
      <xdr:col>8</xdr:col>
      <xdr:colOff>800100</xdr:colOff>
      <xdr:row>15</xdr:row>
      <xdr:rowOff>95250</xdr:rowOff>
    </xdr:to>
    <xdr:pic>
      <xdr:nvPicPr>
        <xdr:cNvPr id="2" name="Picture 1">
          <a:extLst>
            <a:ext uri="{FF2B5EF4-FFF2-40B4-BE49-F238E27FC236}">
              <a16:creationId xmlns:a16="http://schemas.microsoft.com/office/drawing/2014/main" id="{00000000-0008-0000-26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48375" y="1990725"/>
          <a:ext cx="7362825" cy="1152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3</xdr:col>
      <xdr:colOff>0</xdr:colOff>
      <xdr:row>18</xdr:row>
      <xdr:rowOff>0</xdr:rowOff>
    </xdr:from>
    <xdr:to>
      <xdr:col>5</xdr:col>
      <xdr:colOff>6561476</xdr:colOff>
      <xdr:row>30</xdr:row>
      <xdr:rowOff>66381</xdr:rowOff>
    </xdr:to>
    <xdr:pic>
      <xdr:nvPicPr>
        <xdr:cNvPr id="2" name="Picture 1">
          <a:extLst>
            <a:ext uri="{FF2B5EF4-FFF2-40B4-BE49-F238E27FC236}">
              <a16:creationId xmlns:a16="http://schemas.microsoft.com/office/drawing/2014/main" id="{00000000-0008-0000-2800-000002000000}"/>
            </a:ext>
          </a:extLst>
        </xdr:cNvPr>
        <xdr:cNvPicPr>
          <a:picLocks noChangeAspect="1"/>
        </xdr:cNvPicPr>
      </xdr:nvPicPr>
      <xdr:blipFill>
        <a:blip xmlns:r="http://schemas.openxmlformats.org/officeDocument/2006/relationships" r:embed="rId1"/>
        <a:stretch>
          <a:fillRect/>
        </a:stretch>
      </xdr:blipFill>
      <xdr:spPr>
        <a:xfrm>
          <a:off x="1828800" y="3810000"/>
          <a:ext cx="9990476" cy="235238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6804</xdr:colOff>
      <xdr:row>11</xdr:row>
      <xdr:rowOff>187779</xdr:rowOff>
    </xdr:from>
    <xdr:to>
      <xdr:col>6</xdr:col>
      <xdr:colOff>979716</xdr:colOff>
      <xdr:row>21</xdr:row>
      <xdr:rowOff>147049</xdr:rowOff>
    </xdr:to>
    <xdr:pic>
      <xdr:nvPicPr>
        <xdr:cNvPr id="7" name="Picture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1"/>
        <a:stretch>
          <a:fillRect/>
        </a:stretch>
      </xdr:blipFill>
      <xdr:spPr>
        <a:xfrm>
          <a:off x="8141154" y="2730954"/>
          <a:ext cx="7554686" cy="1864270"/>
        </a:xfrm>
        <a:prstGeom prst="rect">
          <a:avLst/>
        </a:prstGeom>
      </xdr:spPr>
    </xdr:pic>
    <xdr:clientData/>
  </xdr:twoCellAnchor>
  <xdr:twoCellAnchor editAs="oneCell">
    <xdr:from>
      <xdr:col>6</xdr:col>
      <xdr:colOff>1839685</xdr:colOff>
      <xdr:row>17</xdr:row>
      <xdr:rowOff>12246</xdr:rowOff>
    </xdr:from>
    <xdr:to>
      <xdr:col>9</xdr:col>
      <xdr:colOff>88445</xdr:colOff>
      <xdr:row>37</xdr:row>
      <xdr:rowOff>26327</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2"/>
        <a:stretch>
          <a:fillRect/>
        </a:stretch>
      </xdr:blipFill>
      <xdr:spPr>
        <a:xfrm>
          <a:off x="16562614" y="3713389"/>
          <a:ext cx="7596868" cy="3824081"/>
        </a:xfrm>
        <a:prstGeom prst="rect">
          <a:avLst/>
        </a:prstGeom>
      </xdr:spPr>
    </xdr:pic>
    <xdr:clientData/>
  </xdr:twoCellAnchor>
  <xdr:twoCellAnchor editAs="oneCell">
    <xdr:from>
      <xdr:col>9</xdr:col>
      <xdr:colOff>1098096</xdr:colOff>
      <xdr:row>16</xdr:row>
      <xdr:rowOff>172811</xdr:rowOff>
    </xdr:from>
    <xdr:to>
      <xdr:col>14</xdr:col>
      <xdr:colOff>48987</xdr:colOff>
      <xdr:row>33</xdr:row>
      <xdr:rowOff>6552</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3"/>
        <a:stretch>
          <a:fillRect/>
        </a:stretch>
      </xdr:blipFill>
      <xdr:spPr>
        <a:xfrm>
          <a:off x="25169132" y="3683454"/>
          <a:ext cx="7605033" cy="3072241"/>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4</xdr:col>
      <xdr:colOff>48533</xdr:colOff>
      <xdr:row>11</xdr:row>
      <xdr:rowOff>73024</xdr:rowOff>
    </xdr:from>
    <xdr:to>
      <xdr:col>5</xdr:col>
      <xdr:colOff>5986691</xdr:colOff>
      <xdr:row>34</xdr:row>
      <xdr:rowOff>101599</xdr:rowOff>
    </xdr:to>
    <xdr:pic>
      <xdr:nvPicPr>
        <xdr:cNvPr id="5" name="Picture 4">
          <a:extLst>
            <a:ext uri="{FF2B5EF4-FFF2-40B4-BE49-F238E27FC236}">
              <a16:creationId xmlns:a16="http://schemas.microsoft.com/office/drawing/2014/main" id="{00000000-0008-0000-29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048908" y="2444749"/>
          <a:ext cx="9986283" cy="44100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3</xdr:col>
      <xdr:colOff>704850</xdr:colOff>
      <xdr:row>32</xdr:row>
      <xdr:rowOff>9525</xdr:rowOff>
    </xdr:from>
    <xdr:to>
      <xdr:col>8</xdr:col>
      <xdr:colOff>790575</xdr:colOff>
      <xdr:row>55</xdr:row>
      <xdr:rowOff>35805</xdr:rowOff>
    </xdr:to>
    <xdr:pic>
      <xdr:nvPicPr>
        <xdr:cNvPr id="2" name="Picture 1">
          <a:extLst>
            <a:ext uri="{FF2B5EF4-FFF2-40B4-BE49-F238E27FC236}">
              <a16:creationId xmlns:a16="http://schemas.microsoft.com/office/drawing/2014/main" id="{00000000-0008-0000-2A00-000002000000}"/>
            </a:ext>
          </a:extLst>
        </xdr:cNvPr>
        <xdr:cNvPicPr>
          <a:picLocks noChangeAspect="1"/>
        </xdr:cNvPicPr>
      </xdr:nvPicPr>
      <xdr:blipFill>
        <a:blip xmlns:r="http://schemas.openxmlformats.org/officeDocument/2006/relationships" r:embed="rId1"/>
        <a:stretch>
          <a:fillRect/>
        </a:stretch>
      </xdr:blipFill>
      <xdr:spPr>
        <a:xfrm>
          <a:off x="3228975" y="6286500"/>
          <a:ext cx="10029825" cy="4407780"/>
        </a:xfrm>
        <a:prstGeom prst="rect">
          <a:avLst/>
        </a:prstGeom>
      </xdr:spPr>
    </xdr:pic>
    <xdr:clientData/>
  </xdr:twoCellAnchor>
  <xdr:twoCellAnchor editAs="oneCell">
    <xdr:from>
      <xdr:col>9</xdr:col>
      <xdr:colOff>1257300</xdr:colOff>
      <xdr:row>32</xdr:row>
      <xdr:rowOff>28575</xdr:rowOff>
    </xdr:from>
    <xdr:to>
      <xdr:col>14</xdr:col>
      <xdr:colOff>84742</xdr:colOff>
      <xdr:row>65</xdr:row>
      <xdr:rowOff>46837</xdr:rowOff>
    </xdr:to>
    <xdr:pic>
      <xdr:nvPicPr>
        <xdr:cNvPr id="3" name="Picture 2">
          <a:extLst>
            <a:ext uri="{FF2B5EF4-FFF2-40B4-BE49-F238E27FC236}">
              <a16:creationId xmlns:a16="http://schemas.microsoft.com/office/drawing/2014/main" id="{00000000-0008-0000-2A00-000003000000}"/>
            </a:ext>
          </a:extLst>
        </xdr:cNvPr>
        <xdr:cNvPicPr>
          <a:picLocks noChangeAspect="1"/>
        </xdr:cNvPicPr>
      </xdr:nvPicPr>
      <xdr:blipFill>
        <a:blip xmlns:r="http://schemas.openxmlformats.org/officeDocument/2006/relationships" r:embed="rId2"/>
        <a:stretch>
          <a:fillRect/>
        </a:stretch>
      </xdr:blipFill>
      <xdr:spPr>
        <a:xfrm>
          <a:off x="13992225" y="6305550"/>
          <a:ext cx="7866667" cy="6304762"/>
        </a:xfrm>
        <a:prstGeom prst="rect">
          <a:avLst/>
        </a:prstGeom>
      </xdr:spPr>
    </xdr:pic>
    <xdr:clientData/>
  </xdr:twoCellAnchor>
  <xdr:twoCellAnchor editAs="oneCell">
    <xdr:from>
      <xdr:col>1</xdr:col>
      <xdr:colOff>361950</xdr:colOff>
      <xdr:row>24</xdr:row>
      <xdr:rowOff>0</xdr:rowOff>
    </xdr:from>
    <xdr:to>
      <xdr:col>4</xdr:col>
      <xdr:colOff>2295525</xdr:colOff>
      <xdr:row>25</xdr:row>
      <xdr:rowOff>95250</xdr:rowOff>
    </xdr:to>
    <xdr:pic>
      <xdr:nvPicPr>
        <xdr:cNvPr id="5" name="Picture 4">
          <a:extLst>
            <a:ext uri="{FF2B5EF4-FFF2-40B4-BE49-F238E27FC236}">
              <a16:creationId xmlns:a16="http://schemas.microsoft.com/office/drawing/2014/main" id="{00000000-0008-0000-2A00-000005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71550" y="5019675"/>
          <a:ext cx="5276850"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1647825</xdr:colOff>
      <xdr:row>28</xdr:row>
      <xdr:rowOff>9525</xdr:rowOff>
    </xdr:from>
    <xdr:to>
      <xdr:col>7</xdr:col>
      <xdr:colOff>0</xdr:colOff>
      <xdr:row>30</xdr:row>
      <xdr:rowOff>85725</xdr:rowOff>
    </xdr:to>
    <xdr:pic>
      <xdr:nvPicPr>
        <xdr:cNvPr id="6" name="Picture 5">
          <a:extLst>
            <a:ext uri="{FF2B5EF4-FFF2-40B4-BE49-F238E27FC236}">
              <a16:creationId xmlns:a16="http://schemas.microsoft.com/office/drawing/2014/main" id="{00000000-0008-0000-2A00-000006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600700" y="5791200"/>
          <a:ext cx="6200775"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1724025</xdr:colOff>
      <xdr:row>24</xdr:row>
      <xdr:rowOff>9525</xdr:rowOff>
    </xdr:from>
    <xdr:to>
      <xdr:col>10</xdr:col>
      <xdr:colOff>0</xdr:colOff>
      <xdr:row>25</xdr:row>
      <xdr:rowOff>104775</xdr:rowOff>
    </xdr:to>
    <xdr:pic>
      <xdr:nvPicPr>
        <xdr:cNvPr id="7" name="Picture 6">
          <a:extLst>
            <a:ext uri="{FF2B5EF4-FFF2-40B4-BE49-F238E27FC236}">
              <a16:creationId xmlns:a16="http://schemas.microsoft.com/office/drawing/2014/main" id="{00000000-0008-0000-2A00-000007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944225" y="5029200"/>
          <a:ext cx="6467475"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981075</xdr:colOff>
      <xdr:row>28</xdr:row>
      <xdr:rowOff>0</xdr:rowOff>
    </xdr:from>
    <xdr:to>
      <xdr:col>11</xdr:col>
      <xdr:colOff>285750</xdr:colOff>
      <xdr:row>31</xdr:row>
      <xdr:rowOff>47625</xdr:rowOff>
    </xdr:to>
    <xdr:pic>
      <xdr:nvPicPr>
        <xdr:cNvPr id="8" name="Picture 7">
          <a:extLst>
            <a:ext uri="{FF2B5EF4-FFF2-40B4-BE49-F238E27FC236}">
              <a16:creationId xmlns:a16="http://schemas.microsoft.com/office/drawing/2014/main" id="{00000000-0008-0000-2A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896975" y="5781675"/>
          <a:ext cx="5981700" cy="619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1</xdr:col>
      <xdr:colOff>28575</xdr:colOff>
      <xdr:row>23</xdr:row>
      <xdr:rowOff>114300</xdr:rowOff>
    </xdr:from>
    <xdr:to>
      <xdr:col>7</xdr:col>
      <xdr:colOff>903611</xdr:colOff>
      <xdr:row>36</xdr:row>
      <xdr:rowOff>104467</xdr:rowOff>
    </xdr:to>
    <xdr:pic>
      <xdr:nvPicPr>
        <xdr:cNvPr id="3" name="Picture 2">
          <a:extLst>
            <a:ext uri="{FF2B5EF4-FFF2-40B4-BE49-F238E27FC236}">
              <a16:creationId xmlns:a16="http://schemas.microsoft.com/office/drawing/2014/main" id="{00000000-0008-0000-2B00-000003000000}"/>
            </a:ext>
          </a:extLst>
        </xdr:cNvPr>
        <xdr:cNvPicPr>
          <a:picLocks noChangeAspect="1"/>
        </xdr:cNvPicPr>
      </xdr:nvPicPr>
      <xdr:blipFill>
        <a:blip xmlns:r="http://schemas.openxmlformats.org/officeDocument/2006/relationships" r:embed="rId1"/>
        <a:stretch>
          <a:fillRect/>
        </a:stretch>
      </xdr:blipFill>
      <xdr:spPr>
        <a:xfrm>
          <a:off x="638175" y="4572000"/>
          <a:ext cx="10114286" cy="2466667"/>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6</xdr:col>
      <xdr:colOff>1457325</xdr:colOff>
      <xdr:row>40</xdr:row>
      <xdr:rowOff>0</xdr:rowOff>
    </xdr:from>
    <xdr:to>
      <xdr:col>10</xdr:col>
      <xdr:colOff>5637553</xdr:colOff>
      <xdr:row>56</xdr:row>
      <xdr:rowOff>75809</xdr:rowOff>
    </xdr:to>
    <xdr:pic>
      <xdr:nvPicPr>
        <xdr:cNvPr id="4" name="Picture 3">
          <a:extLst>
            <a:ext uri="{FF2B5EF4-FFF2-40B4-BE49-F238E27FC236}">
              <a16:creationId xmlns:a16="http://schemas.microsoft.com/office/drawing/2014/main" id="{00000000-0008-0000-2C00-000004000000}"/>
            </a:ext>
          </a:extLst>
        </xdr:cNvPr>
        <xdr:cNvPicPr>
          <a:picLocks noChangeAspect="1"/>
        </xdr:cNvPicPr>
      </xdr:nvPicPr>
      <xdr:blipFill>
        <a:blip xmlns:r="http://schemas.openxmlformats.org/officeDocument/2006/relationships" r:embed="rId1"/>
        <a:stretch>
          <a:fillRect/>
        </a:stretch>
      </xdr:blipFill>
      <xdr:spPr>
        <a:xfrm>
          <a:off x="9372600" y="8686800"/>
          <a:ext cx="9971428" cy="3123809"/>
        </a:xfrm>
        <a:prstGeom prst="rect">
          <a:avLst/>
        </a:prstGeom>
      </xdr:spPr>
    </xdr:pic>
    <xdr:clientData/>
  </xdr:twoCellAnchor>
  <xdr:twoCellAnchor editAs="oneCell">
    <xdr:from>
      <xdr:col>6</xdr:col>
      <xdr:colOff>0</xdr:colOff>
      <xdr:row>0</xdr:row>
      <xdr:rowOff>1</xdr:rowOff>
    </xdr:from>
    <xdr:to>
      <xdr:col>10</xdr:col>
      <xdr:colOff>381000</xdr:colOff>
      <xdr:row>7</xdr:row>
      <xdr:rowOff>87139</xdr:rowOff>
    </xdr:to>
    <xdr:pic>
      <xdr:nvPicPr>
        <xdr:cNvPr id="2" name="Picture 1">
          <a:extLst>
            <a:ext uri="{FF2B5EF4-FFF2-40B4-BE49-F238E27FC236}">
              <a16:creationId xmlns:a16="http://schemas.microsoft.com/office/drawing/2014/main" id="{00000000-0008-0000-2C00-000002000000}"/>
            </a:ext>
          </a:extLst>
        </xdr:cNvPr>
        <xdr:cNvPicPr>
          <a:picLocks noChangeAspect="1"/>
        </xdr:cNvPicPr>
      </xdr:nvPicPr>
      <xdr:blipFill>
        <a:blip xmlns:r="http://schemas.openxmlformats.org/officeDocument/2006/relationships" r:embed="rId2"/>
        <a:stretch>
          <a:fillRect/>
        </a:stretch>
      </xdr:blipFill>
      <xdr:spPr>
        <a:xfrm>
          <a:off x="7915275" y="1"/>
          <a:ext cx="6172200" cy="2258838"/>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3</xdr:col>
      <xdr:colOff>85725</xdr:colOff>
      <xdr:row>101</xdr:row>
      <xdr:rowOff>85725</xdr:rowOff>
    </xdr:from>
    <xdr:to>
      <xdr:col>5</xdr:col>
      <xdr:colOff>322608</xdr:colOff>
      <xdr:row>155</xdr:row>
      <xdr:rowOff>151106</xdr:rowOff>
    </xdr:to>
    <xdr:pic>
      <xdr:nvPicPr>
        <xdr:cNvPr id="2" name="Picture 1">
          <a:extLst>
            <a:ext uri="{FF2B5EF4-FFF2-40B4-BE49-F238E27FC236}">
              <a16:creationId xmlns:a16="http://schemas.microsoft.com/office/drawing/2014/main" id="{00000000-0008-0000-2D00-000002000000}"/>
            </a:ext>
          </a:extLst>
        </xdr:cNvPr>
        <xdr:cNvPicPr>
          <a:picLocks noChangeAspect="1"/>
        </xdr:cNvPicPr>
      </xdr:nvPicPr>
      <xdr:blipFill>
        <a:blip xmlns:r="http://schemas.openxmlformats.org/officeDocument/2006/relationships" r:embed="rId1"/>
        <a:stretch>
          <a:fillRect/>
        </a:stretch>
      </xdr:blipFill>
      <xdr:spPr>
        <a:xfrm>
          <a:off x="6153150" y="22545675"/>
          <a:ext cx="9933333" cy="10352381"/>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editAs="oneCell">
    <xdr:from>
      <xdr:col>2</xdr:col>
      <xdr:colOff>47625</xdr:colOff>
      <xdr:row>40</xdr:row>
      <xdr:rowOff>66675</xdr:rowOff>
    </xdr:from>
    <xdr:to>
      <xdr:col>8</xdr:col>
      <xdr:colOff>389280</xdr:colOff>
      <xdr:row>90</xdr:row>
      <xdr:rowOff>94056</xdr:rowOff>
    </xdr:to>
    <xdr:pic>
      <xdr:nvPicPr>
        <xdr:cNvPr id="2" name="Picture 1">
          <a:extLst>
            <a:ext uri="{FF2B5EF4-FFF2-40B4-BE49-F238E27FC236}">
              <a16:creationId xmlns:a16="http://schemas.microsoft.com/office/drawing/2014/main" id="{00000000-0008-0000-2E00-000002000000}"/>
            </a:ext>
          </a:extLst>
        </xdr:cNvPr>
        <xdr:cNvPicPr>
          <a:picLocks noChangeAspect="1"/>
        </xdr:cNvPicPr>
      </xdr:nvPicPr>
      <xdr:blipFill>
        <a:blip xmlns:r="http://schemas.openxmlformats.org/officeDocument/2006/relationships" r:embed="rId1"/>
        <a:stretch>
          <a:fillRect/>
        </a:stretch>
      </xdr:blipFill>
      <xdr:spPr>
        <a:xfrm>
          <a:off x="1371600" y="9591675"/>
          <a:ext cx="9961905" cy="9552381"/>
        </a:xfrm>
        <a:prstGeom prst="rect">
          <a:avLst/>
        </a:prstGeom>
      </xdr:spPr>
    </xdr:pic>
    <xdr:clientData/>
  </xdr:twoCellAnchor>
</xdr:wsDr>
</file>

<file path=xl/drawings/drawing46.xml><?xml version="1.0" encoding="utf-8"?>
<xdr:wsDr xmlns:xdr="http://schemas.openxmlformats.org/drawingml/2006/spreadsheetDrawing" xmlns:a="http://schemas.openxmlformats.org/drawingml/2006/main">
  <xdr:twoCellAnchor editAs="oneCell">
    <xdr:from>
      <xdr:col>10</xdr:col>
      <xdr:colOff>288924</xdr:colOff>
      <xdr:row>52</xdr:row>
      <xdr:rowOff>35982</xdr:rowOff>
    </xdr:from>
    <xdr:to>
      <xdr:col>10</xdr:col>
      <xdr:colOff>10271996</xdr:colOff>
      <xdr:row>75</xdr:row>
      <xdr:rowOff>62941</xdr:rowOff>
    </xdr:to>
    <xdr:pic>
      <xdr:nvPicPr>
        <xdr:cNvPr id="2" name="Picture 1">
          <a:extLst>
            <a:ext uri="{FF2B5EF4-FFF2-40B4-BE49-F238E27FC236}">
              <a16:creationId xmlns:a16="http://schemas.microsoft.com/office/drawing/2014/main" id="{00000000-0008-0000-2F00-000002000000}"/>
            </a:ext>
          </a:extLst>
        </xdr:cNvPr>
        <xdr:cNvPicPr>
          <a:picLocks noChangeAspect="1"/>
        </xdr:cNvPicPr>
      </xdr:nvPicPr>
      <xdr:blipFill>
        <a:blip xmlns:r="http://schemas.openxmlformats.org/officeDocument/2006/relationships" r:embed="rId1"/>
        <a:stretch>
          <a:fillRect/>
        </a:stretch>
      </xdr:blipFill>
      <xdr:spPr>
        <a:xfrm>
          <a:off x="14036674" y="8820149"/>
          <a:ext cx="9983072" cy="4466667"/>
        </a:xfrm>
        <a:prstGeom prst="rect">
          <a:avLst/>
        </a:prstGeom>
      </xdr:spPr>
    </xdr:pic>
    <xdr:clientData/>
  </xdr:twoCellAnchor>
  <xdr:twoCellAnchor editAs="oneCell">
    <xdr:from>
      <xdr:col>7</xdr:col>
      <xdr:colOff>872067</xdr:colOff>
      <xdr:row>28</xdr:row>
      <xdr:rowOff>63500</xdr:rowOff>
    </xdr:from>
    <xdr:to>
      <xdr:col>10</xdr:col>
      <xdr:colOff>412274</xdr:colOff>
      <xdr:row>43</xdr:row>
      <xdr:rowOff>79375</xdr:rowOff>
    </xdr:to>
    <xdr:pic>
      <xdr:nvPicPr>
        <xdr:cNvPr id="3" name="Picture 2">
          <a:extLst>
            <a:ext uri="{FF2B5EF4-FFF2-40B4-BE49-F238E27FC236}">
              <a16:creationId xmlns:a16="http://schemas.microsoft.com/office/drawing/2014/main" id="{00000000-0008-0000-2F00-000003000000}"/>
            </a:ext>
          </a:extLst>
        </xdr:cNvPr>
        <xdr:cNvPicPr>
          <a:picLocks noChangeAspect="1"/>
        </xdr:cNvPicPr>
      </xdr:nvPicPr>
      <xdr:blipFill>
        <a:blip xmlns:r="http://schemas.openxmlformats.org/officeDocument/2006/relationships" r:embed="rId2"/>
        <a:stretch>
          <a:fillRect/>
        </a:stretch>
      </xdr:blipFill>
      <xdr:spPr>
        <a:xfrm>
          <a:off x="10984442" y="6477000"/>
          <a:ext cx="3683582" cy="2921000"/>
        </a:xfrm>
        <a:prstGeom prst="rect">
          <a:avLst/>
        </a:prstGeom>
      </xdr:spPr>
    </xdr:pic>
    <xdr:clientData/>
  </xdr:twoCellAnchor>
  <xdr:twoCellAnchor editAs="oneCell">
    <xdr:from>
      <xdr:col>1</xdr:col>
      <xdr:colOff>657225</xdr:colOff>
      <xdr:row>31</xdr:row>
      <xdr:rowOff>25400</xdr:rowOff>
    </xdr:from>
    <xdr:to>
      <xdr:col>6</xdr:col>
      <xdr:colOff>103864</xdr:colOff>
      <xdr:row>41</xdr:row>
      <xdr:rowOff>6108</xdr:rowOff>
    </xdr:to>
    <xdr:pic>
      <xdr:nvPicPr>
        <xdr:cNvPr id="4" name="Picture 3">
          <a:extLst>
            <a:ext uri="{FF2B5EF4-FFF2-40B4-BE49-F238E27FC236}">
              <a16:creationId xmlns:a16="http://schemas.microsoft.com/office/drawing/2014/main" id="{00000000-0008-0000-2F00-000004000000}"/>
            </a:ext>
          </a:extLst>
        </xdr:cNvPr>
        <xdr:cNvPicPr>
          <a:picLocks noChangeAspect="1"/>
        </xdr:cNvPicPr>
      </xdr:nvPicPr>
      <xdr:blipFill>
        <a:blip xmlns:r="http://schemas.openxmlformats.org/officeDocument/2006/relationships" r:embed="rId3"/>
        <a:stretch>
          <a:fillRect/>
        </a:stretch>
      </xdr:blipFill>
      <xdr:spPr>
        <a:xfrm>
          <a:off x="1260475" y="7010400"/>
          <a:ext cx="7304764" cy="1933333"/>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editAs="oneCell">
    <xdr:from>
      <xdr:col>1</xdr:col>
      <xdr:colOff>9525</xdr:colOff>
      <xdr:row>32</xdr:row>
      <xdr:rowOff>76200</xdr:rowOff>
    </xdr:from>
    <xdr:to>
      <xdr:col>13</xdr:col>
      <xdr:colOff>67186</xdr:colOff>
      <xdr:row>75</xdr:row>
      <xdr:rowOff>104775</xdr:rowOff>
    </xdr:to>
    <xdr:pic>
      <xdr:nvPicPr>
        <xdr:cNvPr id="8" name="Picture 7">
          <a:extLst>
            <a:ext uri="{FF2B5EF4-FFF2-40B4-BE49-F238E27FC236}">
              <a16:creationId xmlns:a16="http://schemas.microsoft.com/office/drawing/2014/main" id="{00000000-0008-0000-3000-000008000000}"/>
            </a:ext>
          </a:extLst>
        </xdr:cNvPr>
        <xdr:cNvPicPr>
          <a:picLocks noChangeAspect="1"/>
        </xdr:cNvPicPr>
      </xdr:nvPicPr>
      <xdr:blipFill>
        <a:blip xmlns:r="http://schemas.openxmlformats.org/officeDocument/2006/relationships" r:embed="rId1"/>
        <a:stretch>
          <a:fillRect/>
        </a:stretch>
      </xdr:blipFill>
      <xdr:spPr>
        <a:xfrm>
          <a:off x="619125" y="6172200"/>
          <a:ext cx="7372861" cy="8220075"/>
        </a:xfrm>
        <a:prstGeom prst="rect">
          <a:avLst/>
        </a:prstGeom>
      </xdr:spPr>
    </xdr:pic>
    <xdr:clientData/>
  </xdr:twoCellAnchor>
  <xdr:twoCellAnchor editAs="oneCell">
    <xdr:from>
      <xdr:col>14</xdr:col>
      <xdr:colOff>9525</xdr:colOff>
      <xdr:row>0</xdr:row>
      <xdr:rowOff>114300</xdr:rowOff>
    </xdr:from>
    <xdr:to>
      <xdr:col>30</xdr:col>
      <xdr:colOff>379734</xdr:colOff>
      <xdr:row>21</xdr:row>
      <xdr:rowOff>28080</xdr:rowOff>
    </xdr:to>
    <xdr:pic>
      <xdr:nvPicPr>
        <xdr:cNvPr id="9" name="Picture 8">
          <a:extLst>
            <a:ext uri="{FF2B5EF4-FFF2-40B4-BE49-F238E27FC236}">
              <a16:creationId xmlns:a16="http://schemas.microsoft.com/office/drawing/2014/main" id="{00000000-0008-0000-3000-000009000000}"/>
            </a:ext>
          </a:extLst>
        </xdr:cNvPr>
        <xdr:cNvPicPr>
          <a:picLocks noChangeAspect="1"/>
        </xdr:cNvPicPr>
      </xdr:nvPicPr>
      <xdr:blipFill>
        <a:blip xmlns:r="http://schemas.openxmlformats.org/officeDocument/2006/relationships" r:embed="rId2"/>
        <a:stretch>
          <a:fillRect/>
        </a:stretch>
      </xdr:blipFill>
      <xdr:spPr>
        <a:xfrm>
          <a:off x="8543925" y="114300"/>
          <a:ext cx="10123809" cy="3961905"/>
        </a:xfrm>
        <a:prstGeom prst="rect">
          <a:avLst/>
        </a:prstGeom>
      </xdr:spPr>
    </xdr:pic>
    <xdr:clientData/>
  </xdr:twoCellAnchor>
  <xdr:twoCellAnchor editAs="oneCell">
    <xdr:from>
      <xdr:col>13</xdr:col>
      <xdr:colOff>590550</xdr:colOff>
      <xdr:row>21</xdr:row>
      <xdr:rowOff>28575</xdr:rowOff>
    </xdr:from>
    <xdr:to>
      <xdr:col>30</xdr:col>
      <xdr:colOff>294017</xdr:colOff>
      <xdr:row>51</xdr:row>
      <xdr:rowOff>37379</xdr:rowOff>
    </xdr:to>
    <xdr:pic>
      <xdr:nvPicPr>
        <xdr:cNvPr id="10" name="Picture 9">
          <a:extLst>
            <a:ext uri="{FF2B5EF4-FFF2-40B4-BE49-F238E27FC236}">
              <a16:creationId xmlns:a16="http://schemas.microsoft.com/office/drawing/2014/main" id="{00000000-0008-0000-3000-00000A000000}"/>
            </a:ext>
          </a:extLst>
        </xdr:cNvPr>
        <xdr:cNvPicPr>
          <a:picLocks noChangeAspect="1"/>
        </xdr:cNvPicPr>
      </xdr:nvPicPr>
      <xdr:blipFill>
        <a:blip xmlns:r="http://schemas.openxmlformats.org/officeDocument/2006/relationships" r:embed="rId3"/>
        <a:stretch>
          <a:fillRect/>
        </a:stretch>
      </xdr:blipFill>
      <xdr:spPr>
        <a:xfrm>
          <a:off x="8515350" y="4029075"/>
          <a:ext cx="10066667" cy="5771429"/>
        </a:xfrm>
        <a:prstGeom prst="rect">
          <a:avLst/>
        </a:prstGeom>
      </xdr:spPr>
    </xdr:pic>
    <xdr:clientData/>
  </xdr:twoCellAnchor>
  <xdr:twoCellAnchor editAs="oneCell">
    <xdr:from>
      <xdr:col>30</xdr:col>
      <xdr:colOff>523875</xdr:colOff>
      <xdr:row>3</xdr:row>
      <xdr:rowOff>161925</xdr:rowOff>
    </xdr:from>
    <xdr:to>
      <xdr:col>47</xdr:col>
      <xdr:colOff>179723</xdr:colOff>
      <xdr:row>28</xdr:row>
      <xdr:rowOff>113711</xdr:rowOff>
    </xdr:to>
    <xdr:pic>
      <xdr:nvPicPr>
        <xdr:cNvPr id="11" name="Picture 10">
          <a:extLst>
            <a:ext uri="{FF2B5EF4-FFF2-40B4-BE49-F238E27FC236}">
              <a16:creationId xmlns:a16="http://schemas.microsoft.com/office/drawing/2014/main" id="{00000000-0008-0000-3000-00000B000000}"/>
            </a:ext>
          </a:extLst>
        </xdr:cNvPr>
        <xdr:cNvPicPr>
          <a:picLocks noChangeAspect="1"/>
        </xdr:cNvPicPr>
      </xdr:nvPicPr>
      <xdr:blipFill>
        <a:blip xmlns:r="http://schemas.openxmlformats.org/officeDocument/2006/relationships" r:embed="rId4"/>
        <a:stretch>
          <a:fillRect/>
        </a:stretch>
      </xdr:blipFill>
      <xdr:spPr>
        <a:xfrm>
          <a:off x="18811875" y="733425"/>
          <a:ext cx="10019048" cy="4714286"/>
        </a:xfrm>
        <a:prstGeom prst="rect">
          <a:avLst/>
        </a:prstGeom>
      </xdr:spPr>
    </xdr:pic>
    <xdr:clientData/>
  </xdr:twoCellAnchor>
  <xdr:twoCellAnchor editAs="oneCell">
    <xdr:from>
      <xdr:col>31</xdr:col>
      <xdr:colOff>0</xdr:colOff>
      <xdr:row>30</xdr:row>
      <xdr:rowOff>0</xdr:rowOff>
    </xdr:from>
    <xdr:to>
      <xdr:col>47</xdr:col>
      <xdr:colOff>255924</xdr:colOff>
      <xdr:row>61</xdr:row>
      <xdr:rowOff>123065</xdr:rowOff>
    </xdr:to>
    <xdr:pic>
      <xdr:nvPicPr>
        <xdr:cNvPr id="12" name="Picture 11">
          <a:extLst>
            <a:ext uri="{FF2B5EF4-FFF2-40B4-BE49-F238E27FC236}">
              <a16:creationId xmlns:a16="http://schemas.microsoft.com/office/drawing/2014/main" id="{00000000-0008-0000-3000-00000C000000}"/>
            </a:ext>
          </a:extLst>
        </xdr:cNvPr>
        <xdr:cNvPicPr>
          <a:picLocks noChangeAspect="1"/>
        </xdr:cNvPicPr>
      </xdr:nvPicPr>
      <xdr:blipFill>
        <a:blip xmlns:r="http://schemas.openxmlformats.org/officeDocument/2006/relationships" r:embed="rId5"/>
        <a:stretch>
          <a:fillRect/>
        </a:stretch>
      </xdr:blipFill>
      <xdr:spPr>
        <a:xfrm>
          <a:off x="18897600" y="5715000"/>
          <a:ext cx="10009524" cy="6076190"/>
        </a:xfrm>
        <a:prstGeom prst="rect">
          <a:avLst/>
        </a:prstGeom>
      </xdr:spPr>
    </xdr:pic>
    <xdr:clientData/>
  </xdr:twoCellAnchor>
  <xdr:twoCellAnchor editAs="oneCell">
    <xdr:from>
      <xdr:col>48</xdr:col>
      <xdr:colOff>0</xdr:colOff>
      <xdr:row>6</xdr:row>
      <xdr:rowOff>0</xdr:rowOff>
    </xdr:from>
    <xdr:to>
      <xdr:col>64</xdr:col>
      <xdr:colOff>465448</xdr:colOff>
      <xdr:row>32</xdr:row>
      <xdr:rowOff>113661</xdr:rowOff>
    </xdr:to>
    <xdr:pic>
      <xdr:nvPicPr>
        <xdr:cNvPr id="13" name="Picture 12">
          <a:extLst>
            <a:ext uri="{FF2B5EF4-FFF2-40B4-BE49-F238E27FC236}">
              <a16:creationId xmlns:a16="http://schemas.microsoft.com/office/drawing/2014/main" id="{00000000-0008-0000-3000-00000D000000}"/>
            </a:ext>
          </a:extLst>
        </xdr:cNvPr>
        <xdr:cNvPicPr>
          <a:picLocks noChangeAspect="1"/>
        </xdr:cNvPicPr>
      </xdr:nvPicPr>
      <xdr:blipFill>
        <a:blip xmlns:r="http://schemas.openxmlformats.org/officeDocument/2006/relationships" r:embed="rId6"/>
        <a:stretch>
          <a:fillRect/>
        </a:stretch>
      </xdr:blipFill>
      <xdr:spPr>
        <a:xfrm>
          <a:off x="29260800" y="1143000"/>
          <a:ext cx="10219048" cy="5114286"/>
        </a:xfrm>
        <a:prstGeom prst="rect">
          <a:avLst/>
        </a:prstGeom>
      </xdr:spPr>
    </xdr:pic>
    <xdr:clientData/>
  </xdr:twoCellAnchor>
  <xdr:twoCellAnchor editAs="oneCell">
    <xdr:from>
      <xdr:col>1</xdr:col>
      <xdr:colOff>0</xdr:colOff>
      <xdr:row>2</xdr:row>
      <xdr:rowOff>0</xdr:rowOff>
    </xdr:from>
    <xdr:to>
      <xdr:col>13</xdr:col>
      <xdr:colOff>23413</xdr:colOff>
      <xdr:row>29</xdr:row>
      <xdr:rowOff>57150</xdr:rowOff>
    </xdr:to>
    <xdr:pic>
      <xdr:nvPicPr>
        <xdr:cNvPr id="2" name="Picture 1">
          <a:extLst>
            <a:ext uri="{FF2B5EF4-FFF2-40B4-BE49-F238E27FC236}">
              <a16:creationId xmlns:a16="http://schemas.microsoft.com/office/drawing/2014/main" id="{00000000-0008-0000-3000-000002000000}"/>
            </a:ext>
          </a:extLst>
        </xdr:cNvPr>
        <xdr:cNvPicPr>
          <a:picLocks noChangeAspect="1"/>
        </xdr:cNvPicPr>
      </xdr:nvPicPr>
      <xdr:blipFill>
        <a:blip xmlns:r="http://schemas.openxmlformats.org/officeDocument/2006/relationships" r:embed="rId7"/>
        <a:stretch>
          <a:fillRect/>
        </a:stretch>
      </xdr:blipFill>
      <xdr:spPr>
        <a:xfrm>
          <a:off x="609600" y="381000"/>
          <a:ext cx="7338613" cy="5200650"/>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editAs="oneCell">
    <xdr:from>
      <xdr:col>1</xdr:col>
      <xdr:colOff>28575</xdr:colOff>
      <xdr:row>0</xdr:row>
      <xdr:rowOff>161925</xdr:rowOff>
    </xdr:from>
    <xdr:to>
      <xdr:col>17</xdr:col>
      <xdr:colOff>265451</xdr:colOff>
      <xdr:row>53</xdr:row>
      <xdr:rowOff>189234</xdr:rowOff>
    </xdr:to>
    <xdr:pic>
      <xdr:nvPicPr>
        <xdr:cNvPr id="2" name="Picture 1">
          <a:extLst>
            <a:ext uri="{FF2B5EF4-FFF2-40B4-BE49-F238E27FC236}">
              <a16:creationId xmlns:a16="http://schemas.microsoft.com/office/drawing/2014/main" id="{00000000-0008-0000-3100-000002000000}"/>
            </a:ext>
          </a:extLst>
        </xdr:cNvPr>
        <xdr:cNvPicPr>
          <a:picLocks noChangeAspect="1"/>
        </xdr:cNvPicPr>
      </xdr:nvPicPr>
      <xdr:blipFill>
        <a:blip xmlns:r="http://schemas.openxmlformats.org/officeDocument/2006/relationships" r:embed="rId1"/>
        <a:stretch>
          <a:fillRect/>
        </a:stretch>
      </xdr:blipFill>
      <xdr:spPr>
        <a:xfrm>
          <a:off x="638175" y="161925"/>
          <a:ext cx="9990476" cy="10123809"/>
        </a:xfrm>
        <a:prstGeom prst="rect">
          <a:avLst/>
        </a:prstGeom>
      </xdr:spPr>
    </xdr:pic>
    <xdr:clientData/>
  </xdr:twoCellAnchor>
  <xdr:twoCellAnchor editAs="oneCell">
    <xdr:from>
      <xdr:col>1</xdr:col>
      <xdr:colOff>38100</xdr:colOff>
      <xdr:row>53</xdr:row>
      <xdr:rowOff>161925</xdr:rowOff>
    </xdr:from>
    <xdr:to>
      <xdr:col>17</xdr:col>
      <xdr:colOff>284500</xdr:colOff>
      <xdr:row>78</xdr:row>
      <xdr:rowOff>161330</xdr:rowOff>
    </xdr:to>
    <xdr:pic>
      <xdr:nvPicPr>
        <xdr:cNvPr id="3" name="Picture 2">
          <a:extLst>
            <a:ext uri="{FF2B5EF4-FFF2-40B4-BE49-F238E27FC236}">
              <a16:creationId xmlns:a16="http://schemas.microsoft.com/office/drawing/2014/main" id="{00000000-0008-0000-3100-000003000000}"/>
            </a:ext>
          </a:extLst>
        </xdr:cNvPr>
        <xdr:cNvPicPr>
          <a:picLocks noChangeAspect="1"/>
        </xdr:cNvPicPr>
      </xdr:nvPicPr>
      <xdr:blipFill>
        <a:blip xmlns:r="http://schemas.openxmlformats.org/officeDocument/2006/relationships" r:embed="rId2"/>
        <a:stretch>
          <a:fillRect/>
        </a:stretch>
      </xdr:blipFill>
      <xdr:spPr>
        <a:xfrm>
          <a:off x="647700" y="10258425"/>
          <a:ext cx="10000000" cy="4761905"/>
        </a:xfrm>
        <a:prstGeom prst="rect">
          <a:avLst/>
        </a:prstGeom>
      </xdr:spPr>
    </xdr:pic>
    <xdr:clientData/>
  </xdr:twoCellAnchor>
  <xdr:twoCellAnchor editAs="oneCell">
    <xdr:from>
      <xdr:col>18</xdr:col>
      <xdr:colOff>0</xdr:colOff>
      <xdr:row>2</xdr:row>
      <xdr:rowOff>142875</xdr:rowOff>
    </xdr:from>
    <xdr:to>
      <xdr:col>34</xdr:col>
      <xdr:colOff>217828</xdr:colOff>
      <xdr:row>50</xdr:row>
      <xdr:rowOff>56018</xdr:rowOff>
    </xdr:to>
    <xdr:pic>
      <xdr:nvPicPr>
        <xdr:cNvPr id="4" name="Picture 3">
          <a:extLst>
            <a:ext uri="{FF2B5EF4-FFF2-40B4-BE49-F238E27FC236}">
              <a16:creationId xmlns:a16="http://schemas.microsoft.com/office/drawing/2014/main" id="{00000000-0008-0000-3100-000004000000}"/>
            </a:ext>
          </a:extLst>
        </xdr:cNvPr>
        <xdr:cNvPicPr>
          <a:picLocks noChangeAspect="1"/>
        </xdr:cNvPicPr>
      </xdr:nvPicPr>
      <xdr:blipFill>
        <a:blip xmlns:r="http://schemas.openxmlformats.org/officeDocument/2006/relationships" r:embed="rId3"/>
        <a:stretch>
          <a:fillRect/>
        </a:stretch>
      </xdr:blipFill>
      <xdr:spPr>
        <a:xfrm>
          <a:off x="10972800" y="523875"/>
          <a:ext cx="9971428" cy="9057143"/>
        </a:xfrm>
        <a:prstGeom prst="rect">
          <a:avLst/>
        </a:prstGeom>
      </xdr:spPr>
    </xdr:pic>
    <xdr:clientData/>
  </xdr:twoCellAnchor>
  <xdr:twoCellAnchor editAs="oneCell">
    <xdr:from>
      <xdr:col>18</xdr:col>
      <xdr:colOff>9525</xdr:colOff>
      <xdr:row>50</xdr:row>
      <xdr:rowOff>19050</xdr:rowOff>
    </xdr:from>
    <xdr:to>
      <xdr:col>34</xdr:col>
      <xdr:colOff>236877</xdr:colOff>
      <xdr:row>79</xdr:row>
      <xdr:rowOff>27883</xdr:rowOff>
    </xdr:to>
    <xdr:pic>
      <xdr:nvPicPr>
        <xdr:cNvPr id="5" name="Picture 4">
          <a:extLst>
            <a:ext uri="{FF2B5EF4-FFF2-40B4-BE49-F238E27FC236}">
              <a16:creationId xmlns:a16="http://schemas.microsoft.com/office/drawing/2014/main" id="{00000000-0008-0000-3100-000005000000}"/>
            </a:ext>
          </a:extLst>
        </xdr:cNvPr>
        <xdr:cNvPicPr>
          <a:picLocks noChangeAspect="1"/>
        </xdr:cNvPicPr>
      </xdr:nvPicPr>
      <xdr:blipFill>
        <a:blip xmlns:r="http://schemas.openxmlformats.org/officeDocument/2006/relationships" r:embed="rId4"/>
        <a:stretch>
          <a:fillRect/>
        </a:stretch>
      </xdr:blipFill>
      <xdr:spPr>
        <a:xfrm>
          <a:off x="10982325" y="9544050"/>
          <a:ext cx="9980952" cy="5533333"/>
        </a:xfrm>
        <a:prstGeom prst="rect">
          <a:avLst/>
        </a:prstGeom>
      </xdr:spPr>
    </xdr:pic>
    <xdr:clientData/>
  </xdr:twoCellAnchor>
  <xdr:twoCellAnchor editAs="oneCell">
    <xdr:from>
      <xdr:col>35</xdr:col>
      <xdr:colOff>0</xdr:colOff>
      <xdr:row>3</xdr:row>
      <xdr:rowOff>0</xdr:rowOff>
    </xdr:from>
    <xdr:to>
      <xdr:col>51</xdr:col>
      <xdr:colOff>227352</xdr:colOff>
      <xdr:row>45</xdr:row>
      <xdr:rowOff>160905</xdr:rowOff>
    </xdr:to>
    <xdr:pic>
      <xdr:nvPicPr>
        <xdr:cNvPr id="6" name="Picture 5">
          <a:extLst>
            <a:ext uri="{FF2B5EF4-FFF2-40B4-BE49-F238E27FC236}">
              <a16:creationId xmlns:a16="http://schemas.microsoft.com/office/drawing/2014/main" id="{00000000-0008-0000-3100-000006000000}"/>
            </a:ext>
          </a:extLst>
        </xdr:cNvPr>
        <xdr:cNvPicPr>
          <a:picLocks noChangeAspect="1"/>
        </xdr:cNvPicPr>
      </xdr:nvPicPr>
      <xdr:blipFill>
        <a:blip xmlns:r="http://schemas.openxmlformats.org/officeDocument/2006/relationships" r:embed="rId5"/>
        <a:stretch>
          <a:fillRect/>
        </a:stretch>
      </xdr:blipFill>
      <xdr:spPr>
        <a:xfrm>
          <a:off x="21336000" y="571500"/>
          <a:ext cx="9980952" cy="8161905"/>
        </a:xfrm>
        <a:prstGeom prst="rect">
          <a:avLst/>
        </a:prstGeom>
      </xdr:spPr>
    </xdr:pic>
    <xdr:clientData/>
  </xdr:twoCellAnchor>
  <xdr:twoCellAnchor editAs="oneCell">
    <xdr:from>
      <xdr:col>35</xdr:col>
      <xdr:colOff>19050</xdr:colOff>
      <xdr:row>45</xdr:row>
      <xdr:rowOff>104775</xdr:rowOff>
    </xdr:from>
    <xdr:to>
      <xdr:col>51</xdr:col>
      <xdr:colOff>236878</xdr:colOff>
      <xdr:row>79</xdr:row>
      <xdr:rowOff>161108</xdr:rowOff>
    </xdr:to>
    <xdr:pic>
      <xdr:nvPicPr>
        <xdr:cNvPr id="7" name="Picture 6">
          <a:extLst>
            <a:ext uri="{FF2B5EF4-FFF2-40B4-BE49-F238E27FC236}">
              <a16:creationId xmlns:a16="http://schemas.microsoft.com/office/drawing/2014/main" id="{00000000-0008-0000-3100-000007000000}"/>
            </a:ext>
          </a:extLst>
        </xdr:cNvPr>
        <xdr:cNvPicPr>
          <a:picLocks noChangeAspect="1"/>
        </xdr:cNvPicPr>
      </xdr:nvPicPr>
      <xdr:blipFill>
        <a:blip xmlns:r="http://schemas.openxmlformats.org/officeDocument/2006/relationships" r:embed="rId6"/>
        <a:stretch>
          <a:fillRect/>
        </a:stretch>
      </xdr:blipFill>
      <xdr:spPr>
        <a:xfrm>
          <a:off x="21355050" y="8677275"/>
          <a:ext cx="9971428" cy="6533333"/>
        </a:xfrm>
        <a:prstGeom prst="rect">
          <a:avLst/>
        </a:prstGeom>
      </xdr:spPr>
    </xdr:pic>
    <xdr:clientData/>
  </xdr:twoCellAnchor>
  <xdr:twoCellAnchor editAs="oneCell">
    <xdr:from>
      <xdr:col>52</xdr:col>
      <xdr:colOff>0</xdr:colOff>
      <xdr:row>3</xdr:row>
      <xdr:rowOff>0</xdr:rowOff>
    </xdr:from>
    <xdr:to>
      <xdr:col>68</xdr:col>
      <xdr:colOff>208305</xdr:colOff>
      <xdr:row>57</xdr:row>
      <xdr:rowOff>170143</xdr:rowOff>
    </xdr:to>
    <xdr:pic>
      <xdr:nvPicPr>
        <xdr:cNvPr id="8" name="Picture 7">
          <a:extLst>
            <a:ext uri="{FF2B5EF4-FFF2-40B4-BE49-F238E27FC236}">
              <a16:creationId xmlns:a16="http://schemas.microsoft.com/office/drawing/2014/main" id="{00000000-0008-0000-3100-000008000000}"/>
            </a:ext>
          </a:extLst>
        </xdr:cNvPr>
        <xdr:cNvPicPr>
          <a:picLocks noChangeAspect="1"/>
        </xdr:cNvPicPr>
      </xdr:nvPicPr>
      <xdr:blipFill>
        <a:blip xmlns:r="http://schemas.openxmlformats.org/officeDocument/2006/relationships" r:embed="rId7"/>
        <a:stretch>
          <a:fillRect/>
        </a:stretch>
      </xdr:blipFill>
      <xdr:spPr>
        <a:xfrm>
          <a:off x="31699200" y="571500"/>
          <a:ext cx="9961905" cy="10457143"/>
        </a:xfrm>
        <a:prstGeom prst="rect">
          <a:avLst/>
        </a:prstGeom>
      </xdr:spPr>
    </xdr:pic>
    <xdr:clientData/>
  </xdr:twoCellAnchor>
  <xdr:twoCellAnchor editAs="oneCell">
    <xdr:from>
      <xdr:col>51</xdr:col>
      <xdr:colOff>600075</xdr:colOff>
      <xdr:row>57</xdr:row>
      <xdr:rowOff>142875</xdr:rowOff>
    </xdr:from>
    <xdr:to>
      <xdr:col>68</xdr:col>
      <xdr:colOff>227351</xdr:colOff>
      <xdr:row>81</xdr:row>
      <xdr:rowOff>56589</xdr:rowOff>
    </xdr:to>
    <xdr:pic>
      <xdr:nvPicPr>
        <xdr:cNvPr id="9" name="Picture 8">
          <a:extLst>
            <a:ext uri="{FF2B5EF4-FFF2-40B4-BE49-F238E27FC236}">
              <a16:creationId xmlns:a16="http://schemas.microsoft.com/office/drawing/2014/main" id="{00000000-0008-0000-3100-000009000000}"/>
            </a:ext>
          </a:extLst>
        </xdr:cNvPr>
        <xdr:cNvPicPr>
          <a:picLocks noChangeAspect="1"/>
        </xdr:cNvPicPr>
      </xdr:nvPicPr>
      <xdr:blipFill>
        <a:blip xmlns:r="http://schemas.openxmlformats.org/officeDocument/2006/relationships" r:embed="rId8"/>
        <a:stretch>
          <a:fillRect/>
        </a:stretch>
      </xdr:blipFill>
      <xdr:spPr>
        <a:xfrm>
          <a:off x="31689675" y="11001375"/>
          <a:ext cx="9990476" cy="4485714"/>
        </a:xfrm>
        <a:prstGeom prst="rect">
          <a:avLst/>
        </a:prstGeom>
      </xdr:spPr>
    </xdr:pic>
    <xdr:clientData/>
  </xdr:twoCellAnchor>
  <xdr:twoCellAnchor editAs="oneCell">
    <xdr:from>
      <xdr:col>69</xdr:col>
      <xdr:colOff>0</xdr:colOff>
      <xdr:row>3</xdr:row>
      <xdr:rowOff>0</xdr:rowOff>
    </xdr:from>
    <xdr:to>
      <xdr:col>85</xdr:col>
      <xdr:colOff>227352</xdr:colOff>
      <xdr:row>41</xdr:row>
      <xdr:rowOff>113381</xdr:rowOff>
    </xdr:to>
    <xdr:pic>
      <xdr:nvPicPr>
        <xdr:cNvPr id="10" name="Picture 9">
          <a:extLst>
            <a:ext uri="{FF2B5EF4-FFF2-40B4-BE49-F238E27FC236}">
              <a16:creationId xmlns:a16="http://schemas.microsoft.com/office/drawing/2014/main" id="{00000000-0008-0000-3100-00000A000000}"/>
            </a:ext>
          </a:extLst>
        </xdr:cNvPr>
        <xdr:cNvPicPr>
          <a:picLocks noChangeAspect="1"/>
        </xdr:cNvPicPr>
      </xdr:nvPicPr>
      <xdr:blipFill>
        <a:blip xmlns:r="http://schemas.openxmlformats.org/officeDocument/2006/relationships" r:embed="rId9"/>
        <a:stretch>
          <a:fillRect/>
        </a:stretch>
      </xdr:blipFill>
      <xdr:spPr>
        <a:xfrm>
          <a:off x="42062400" y="571500"/>
          <a:ext cx="9980952" cy="7352381"/>
        </a:xfrm>
        <a:prstGeom prst="rect">
          <a:avLst/>
        </a:prstGeom>
      </xdr:spPr>
    </xdr:pic>
    <xdr:clientData/>
  </xdr:twoCellAnchor>
  <xdr:twoCellAnchor editAs="oneCell">
    <xdr:from>
      <xdr:col>69</xdr:col>
      <xdr:colOff>0</xdr:colOff>
      <xdr:row>41</xdr:row>
      <xdr:rowOff>47625</xdr:rowOff>
    </xdr:from>
    <xdr:to>
      <xdr:col>85</xdr:col>
      <xdr:colOff>236876</xdr:colOff>
      <xdr:row>68</xdr:row>
      <xdr:rowOff>27934</xdr:rowOff>
    </xdr:to>
    <xdr:pic>
      <xdr:nvPicPr>
        <xdr:cNvPr id="11" name="Picture 10">
          <a:extLst>
            <a:ext uri="{FF2B5EF4-FFF2-40B4-BE49-F238E27FC236}">
              <a16:creationId xmlns:a16="http://schemas.microsoft.com/office/drawing/2014/main" id="{00000000-0008-0000-3100-00000B000000}"/>
            </a:ext>
          </a:extLst>
        </xdr:cNvPr>
        <xdr:cNvPicPr>
          <a:picLocks noChangeAspect="1"/>
        </xdr:cNvPicPr>
      </xdr:nvPicPr>
      <xdr:blipFill>
        <a:blip xmlns:r="http://schemas.openxmlformats.org/officeDocument/2006/relationships" r:embed="rId10"/>
        <a:stretch>
          <a:fillRect/>
        </a:stretch>
      </xdr:blipFill>
      <xdr:spPr>
        <a:xfrm>
          <a:off x="42062400" y="7858125"/>
          <a:ext cx="9990476" cy="5123809"/>
        </a:xfrm>
        <a:prstGeom prst="rect">
          <a:avLst/>
        </a:prstGeom>
      </xdr:spPr>
    </xdr:pic>
    <xdr:clientData/>
  </xdr:twoCellAnchor>
  <xdr:twoCellAnchor editAs="oneCell">
    <xdr:from>
      <xdr:col>86</xdr:col>
      <xdr:colOff>0</xdr:colOff>
      <xdr:row>3</xdr:row>
      <xdr:rowOff>0</xdr:rowOff>
    </xdr:from>
    <xdr:to>
      <xdr:col>102</xdr:col>
      <xdr:colOff>189257</xdr:colOff>
      <xdr:row>61</xdr:row>
      <xdr:rowOff>151000</xdr:rowOff>
    </xdr:to>
    <xdr:pic>
      <xdr:nvPicPr>
        <xdr:cNvPr id="12" name="Picture 11">
          <a:extLst>
            <a:ext uri="{FF2B5EF4-FFF2-40B4-BE49-F238E27FC236}">
              <a16:creationId xmlns:a16="http://schemas.microsoft.com/office/drawing/2014/main" id="{00000000-0008-0000-3100-00000C000000}"/>
            </a:ext>
          </a:extLst>
        </xdr:cNvPr>
        <xdr:cNvPicPr>
          <a:picLocks noChangeAspect="1"/>
        </xdr:cNvPicPr>
      </xdr:nvPicPr>
      <xdr:blipFill>
        <a:blip xmlns:r="http://schemas.openxmlformats.org/officeDocument/2006/relationships" r:embed="rId11"/>
        <a:stretch>
          <a:fillRect/>
        </a:stretch>
      </xdr:blipFill>
      <xdr:spPr>
        <a:xfrm>
          <a:off x="52425600" y="571500"/>
          <a:ext cx="9942857" cy="11200000"/>
        </a:xfrm>
        <a:prstGeom prst="rect">
          <a:avLst/>
        </a:prstGeom>
      </xdr:spPr>
    </xdr:pic>
    <xdr:clientData/>
  </xdr:twoCellAnchor>
  <xdr:twoCellAnchor editAs="oneCell">
    <xdr:from>
      <xdr:col>103</xdr:col>
      <xdr:colOff>0</xdr:colOff>
      <xdr:row>3</xdr:row>
      <xdr:rowOff>0</xdr:rowOff>
    </xdr:from>
    <xdr:to>
      <xdr:col>119</xdr:col>
      <xdr:colOff>198781</xdr:colOff>
      <xdr:row>38</xdr:row>
      <xdr:rowOff>46786</xdr:rowOff>
    </xdr:to>
    <xdr:pic>
      <xdr:nvPicPr>
        <xdr:cNvPr id="13" name="Picture 12">
          <a:extLst>
            <a:ext uri="{FF2B5EF4-FFF2-40B4-BE49-F238E27FC236}">
              <a16:creationId xmlns:a16="http://schemas.microsoft.com/office/drawing/2014/main" id="{00000000-0008-0000-3100-00000D000000}"/>
            </a:ext>
          </a:extLst>
        </xdr:cNvPr>
        <xdr:cNvPicPr>
          <a:picLocks noChangeAspect="1"/>
        </xdr:cNvPicPr>
      </xdr:nvPicPr>
      <xdr:blipFill>
        <a:blip xmlns:r="http://schemas.openxmlformats.org/officeDocument/2006/relationships" r:embed="rId12"/>
        <a:stretch>
          <a:fillRect/>
        </a:stretch>
      </xdr:blipFill>
      <xdr:spPr>
        <a:xfrm>
          <a:off x="62788800" y="571500"/>
          <a:ext cx="9952381" cy="6714286"/>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17</xdr:col>
      <xdr:colOff>198781</xdr:colOff>
      <xdr:row>41</xdr:row>
      <xdr:rowOff>180024</xdr:rowOff>
    </xdr:to>
    <xdr:pic>
      <xdr:nvPicPr>
        <xdr:cNvPr id="6" name="Picture 5">
          <a:extLst>
            <a:ext uri="{FF2B5EF4-FFF2-40B4-BE49-F238E27FC236}">
              <a16:creationId xmlns:a16="http://schemas.microsoft.com/office/drawing/2014/main" id="{00000000-0008-0000-3200-000006000000}"/>
            </a:ext>
          </a:extLst>
        </xdr:cNvPr>
        <xdr:cNvPicPr>
          <a:picLocks noChangeAspect="1"/>
        </xdr:cNvPicPr>
      </xdr:nvPicPr>
      <xdr:blipFill>
        <a:blip xmlns:r="http://schemas.openxmlformats.org/officeDocument/2006/relationships" r:embed="rId1"/>
        <a:stretch>
          <a:fillRect/>
        </a:stretch>
      </xdr:blipFill>
      <xdr:spPr>
        <a:xfrm>
          <a:off x="609600" y="381000"/>
          <a:ext cx="9952381" cy="7609524"/>
        </a:xfrm>
        <a:prstGeom prst="rect">
          <a:avLst/>
        </a:prstGeom>
      </xdr:spPr>
    </xdr:pic>
    <xdr:clientData/>
  </xdr:twoCellAnchor>
  <xdr:twoCellAnchor editAs="oneCell">
    <xdr:from>
      <xdr:col>18</xdr:col>
      <xdr:colOff>0</xdr:colOff>
      <xdr:row>2</xdr:row>
      <xdr:rowOff>0</xdr:rowOff>
    </xdr:from>
    <xdr:to>
      <xdr:col>34</xdr:col>
      <xdr:colOff>179733</xdr:colOff>
      <xdr:row>44</xdr:row>
      <xdr:rowOff>170428</xdr:rowOff>
    </xdr:to>
    <xdr:pic>
      <xdr:nvPicPr>
        <xdr:cNvPr id="7" name="Picture 6">
          <a:extLst>
            <a:ext uri="{FF2B5EF4-FFF2-40B4-BE49-F238E27FC236}">
              <a16:creationId xmlns:a16="http://schemas.microsoft.com/office/drawing/2014/main" id="{00000000-0008-0000-3200-000007000000}"/>
            </a:ext>
          </a:extLst>
        </xdr:cNvPr>
        <xdr:cNvPicPr>
          <a:picLocks noChangeAspect="1"/>
        </xdr:cNvPicPr>
      </xdr:nvPicPr>
      <xdr:blipFill>
        <a:blip xmlns:r="http://schemas.openxmlformats.org/officeDocument/2006/relationships" r:embed="rId2"/>
        <a:stretch>
          <a:fillRect/>
        </a:stretch>
      </xdr:blipFill>
      <xdr:spPr>
        <a:xfrm>
          <a:off x="10972800" y="381000"/>
          <a:ext cx="9933333" cy="8171428"/>
        </a:xfrm>
        <a:prstGeom prst="rect">
          <a:avLst/>
        </a:prstGeom>
      </xdr:spPr>
    </xdr:pic>
    <xdr:clientData/>
  </xdr:twoCellAnchor>
  <xdr:twoCellAnchor editAs="oneCell">
    <xdr:from>
      <xdr:col>35</xdr:col>
      <xdr:colOff>9525</xdr:colOff>
      <xdr:row>4</xdr:row>
      <xdr:rowOff>19050</xdr:rowOff>
    </xdr:from>
    <xdr:to>
      <xdr:col>51</xdr:col>
      <xdr:colOff>198782</xdr:colOff>
      <xdr:row>25</xdr:row>
      <xdr:rowOff>18550</xdr:rowOff>
    </xdr:to>
    <xdr:pic>
      <xdr:nvPicPr>
        <xdr:cNvPr id="8" name="Picture 7">
          <a:extLst>
            <a:ext uri="{FF2B5EF4-FFF2-40B4-BE49-F238E27FC236}">
              <a16:creationId xmlns:a16="http://schemas.microsoft.com/office/drawing/2014/main" id="{00000000-0008-0000-3200-000008000000}"/>
            </a:ext>
          </a:extLst>
        </xdr:cNvPr>
        <xdr:cNvPicPr>
          <a:picLocks noChangeAspect="1"/>
        </xdr:cNvPicPr>
      </xdr:nvPicPr>
      <xdr:blipFill>
        <a:blip xmlns:r="http://schemas.openxmlformats.org/officeDocument/2006/relationships" r:embed="rId3"/>
        <a:stretch>
          <a:fillRect/>
        </a:stretch>
      </xdr:blipFill>
      <xdr:spPr>
        <a:xfrm>
          <a:off x="21345525" y="781050"/>
          <a:ext cx="9942857" cy="4000000"/>
        </a:xfrm>
        <a:prstGeom prst="rect">
          <a:avLst/>
        </a:prstGeom>
      </xdr:spPr>
    </xdr:pic>
    <xdr:clientData/>
  </xdr:twoCellAnchor>
  <xdr:twoCellAnchor editAs="oneCell">
    <xdr:from>
      <xdr:col>35</xdr:col>
      <xdr:colOff>0</xdr:colOff>
      <xdr:row>26</xdr:row>
      <xdr:rowOff>171450</xdr:rowOff>
    </xdr:from>
    <xdr:to>
      <xdr:col>51</xdr:col>
      <xdr:colOff>189257</xdr:colOff>
      <xdr:row>37</xdr:row>
      <xdr:rowOff>190236</xdr:rowOff>
    </xdr:to>
    <xdr:pic>
      <xdr:nvPicPr>
        <xdr:cNvPr id="9" name="Picture 8">
          <a:extLst>
            <a:ext uri="{FF2B5EF4-FFF2-40B4-BE49-F238E27FC236}">
              <a16:creationId xmlns:a16="http://schemas.microsoft.com/office/drawing/2014/main" id="{00000000-0008-0000-3200-000009000000}"/>
            </a:ext>
          </a:extLst>
        </xdr:cNvPr>
        <xdr:cNvPicPr>
          <a:picLocks noChangeAspect="1"/>
        </xdr:cNvPicPr>
      </xdr:nvPicPr>
      <xdr:blipFill>
        <a:blip xmlns:r="http://schemas.openxmlformats.org/officeDocument/2006/relationships" r:embed="rId4"/>
        <a:stretch>
          <a:fillRect/>
        </a:stretch>
      </xdr:blipFill>
      <xdr:spPr>
        <a:xfrm>
          <a:off x="21336000" y="5124450"/>
          <a:ext cx="9942857" cy="21142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3</xdr:col>
      <xdr:colOff>295275</xdr:colOff>
      <xdr:row>14</xdr:row>
      <xdr:rowOff>9525</xdr:rowOff>
    </xdr:from>
    <xdr:to>
      <xdr:col>6</xdr:col>
      <xdr:colOff>1302443</xdr:colOff>
      <xdr:row>23</xdr:row>
      <xdr:rowOff>12247</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1"/>
        <a:stretch>
          <a:fillRect/>
        </a:stretch>
      </xdr:blipFill>
      <xdr:spPr>
        <a:xfrm>
          <a:off x="3000375" y="3190875"/>
          <a:ext cx="8084243" cy="1717222"/>
        </a:xfrm>
        <a:prstGeom prst="rect">
          <a:avLst/>
        </a:prstGeom>
      </xdr:spPr>
    </xdr:pic>
    <xdr:clientData/>
  </xdr:twoCellAnchor>
  <xdr:twoCellAnchor editAs="oneCell">
    <xdr:from>
      <xdr:col>12</xdr:col>
      <xdr:colOff>9525</xdr:colOff>
      <xdr:row>13</xdr:row>
      <xdr:rowOff>180975</xdr:rowOff>
    </xdr:from>
    <xdr:to>
      <xdr:col>13</xdr:col>
      <xdr:colOff>4349209</xdr:colOff>
      <xdr:row>22</xdr:row>
      <xdr:rowOff>95250</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2"/>
        <a:stretch>
          <a:fillRect/>
        </a:stretch>
      </xdr:blipFill>
      <xdr:spPr>
        <a:xfrm>
          <a:off x="15601950" y="3171825"/>
          <a:ext cx="7587709" cy="1628775"/>
        </a:xfrm>
        <a:prstGeom prst="rect">
          <a:avLst/>
        </a:prstGeom>
      </xdr:spPr>
    </xdr:pic>
    <xdr:clientData/>
  </xdr:twoCellAnchor>
</xdr:wsDr>
</file>

<file path=xl/drawings/drawing50.xml><?xml version="1.0" encoding="utf-8"?>
<xdr:wsDr xmlns:xdr="http://schemas.openxmlformats.org/drawingml/2006/spreadsheetDrawing" xmlns:a="http://schemas.openxmlformats.org/drawingml/2006/main">
  <xdr:twoCellAnchor editAs="oneCell">
    <xdr:from>
      <xdr:col>1</xdr:col>
      <xdr:colOff>0</xdr:colOff>
      <xdr:row>3</xdr:row>
      <xdr:rowOff>142875</xdr:rowOff>
    </xdr:from>
    <xdr:to>
      <xdr:col>17</xdr:col>
      <xdr:colOff>189257</xdr:colOff>
      <xdr:row>56</xdr:row>
      <xdr:rowOff>179708</xdr:rowOff>
    </xdr:to>
    <xdr:pic>
      <xdr:nvPicPr>
        <xdr:cNvPr id="2" name="Picture 1">
          <a:extLst>
            <a:ext uri="{FF2B5EF4-FFF2-40B4-BE49-F238E27FC236}">
              <a16:creationId xmlns:a16="http://schemas.microsoft.com/office/drawing/2014/main" id="{00000000-0008-0000-3300-000002000000}"/>
            </a:ext>
          </a:extLst>
        </xdr:cNvPr>
        <xdr:cNvPicPr>
          <a:picLocks noChangeAspect="1"/>
        </xdr:cNvPicPr>
      </xdr:nvPicPr>
      <xdr:blipFill>
        <a:blip xmlns:r="http://schemas.openxmlformats.org/officeDocument/2006/relationships" r:embed="rId1"/>
        <a:stretch>
          <a:fillRect/>
        </a:stretch>
      </xdr:blipFill>
      <xdr:spPr>
        <a:xfrm>
          <a:off x="609600" y="714375"/>
          <a:ext cx="9942857" cy="10133333"/>
        </a:xfrm>
        <a:prstGeom prst="rect">
          <a:avLst/>
        </a:prstGeom>
      </xdr:spPr>
    </xdr:pic>
    <xdr:clientData/>
  </xdr:twoCellAnchor>
  <xdr:twoCellAnchor editAs="oneCell">
    <xdr:from>
      <xdr:col>0</xdr:col>
      <xdr:colOff>514350</xdr:colOff>
      <xdr:row>57</xdr:row>
      <xdr:rowOff>57150</xdr:rowOff>
    </xdr:from>
    <xdr:to>
      <xdr:col>16</xdr:col>
      <xdr:colOff>608369</xdr:colOff>
      <xdr:row>83</xdr:row>
      <xdr:rowOff>8912</xdr:rowOff>
    </xdr:to>
    <xdr:pic>
      <xdr:nvPicPr>
        <xdr:cNvPr id="3" name="Picture 2">
          <a:extLst>
            <a:ext uri="{FF2B5EF4-FFF2-40B4-BE49-F238E27FC236}">
              <a16:creationId xmlns:a16="http://schemas.microsoft.com/office/drawing/2014/main" id="{00000000-0008-0000-3300-000003000000}"/>
            </a:ext>
          </a:extLst>
        </xdr:cNvPr>
        <xdr:cNvPicPr>
          <a:picLocks noChangeAspect="1"/>
        </xdr:cNvPicPr>
      </xdr:nvPicPr>
      <xdr:blipFill>
        <a:blip xmlns:r="http://schemas.openxmlformats.org/officeDocument/2006/relationships" r:embed="rId2"/>
        <a:stretch>
          <a:fillRect/>
        </a:stretch>
      </xdr:blipFill>
      <xdr:spPr>
        <a:xfrm>
          <a:off x="514350" y="10915650"/>
          <a:ext cx="9847619" cy="4952387"/>
        </a:xfrm>
        <a:prstGeom prst="rect">
          <a:avLst/>
        </a:prstGeom>
      </xdr:spPr>
    </xdr:pic>
    <xdr:clientData/>
  </xdr:twoCellAnchor>
  <xdr:twoCellAnchor editAs="oneCell">
    <xdr:from>
      <xdr:col>2</xdr:col>
      <xdr:colOff>600075</xdr:colOff>
      <xdr:row>83</xdr:row>
      <xdr:rowOff>9525</xdr:rowOff>
    </xdr:from>
    <xdr:to>
      <xdr:col>22</xdr:col>
      <xdr:colOff>552450</xdr:colOff>
      <xdr:row>108</xdr:row>
      <xdr:rowOff>76200</xdr:rowOff>
    </xdr:to>
    <xdr:pic>
      <xdr:nvPicPr>
        <xdr:cNvPr id="4" name="Picture 3">
          <a:extLst>
            <a:ext uri="{FF2B5EF4-FFF2-40B4-BE49-F238E27FC236}">
              <a16:creationId xmlns:a16="http://schemas.microsoft.com/office/drawing/2014/main" id="{00000000-0008-0000-33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19275" y="15868650"/>
          <a:ext cx="12144375" cy="4829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1.xml><?xml version="1.0" encoding="utf-8"?>
<xdr:wsDr xmlns:xdr="http://schemas.openxmlformats.org/drawingml/2006/spreadsheetDrawing" xmlns:a="http://schemas.openxmlformats.org/drawingml/2006/main">
  <xdr:twoCellAnchor editAs="oneCell">
    <xdr:from>
      <xdr:col>1</xdr:col>
      <xdr:colOff>0</xdr:colOff>
      <xdr:row>1</xdr:row>
      <xdr:rowOff>161925</xdr:rowOff>
    </xdr:from>
    <xdr:to>
      <xdr:col>17</xdr:col>
      <xdr:colOff>179733</xdr:colOff>
      <xdr:row>56</xdr:row>
      <xdr:rowOff>36806</xdr:rowOff>
    </xdr:to>
    <xdr:pic>
      <xdr:nvPicPr>
        <xdr:cNvPr id="2" name="Picture 1">
          <a:extLst>
            <a:ext uri="{FF2B5EF4-FFF2-40B4-BE49-F238E27FC236}">
              <a16:creationId xmlns:a16="http://schemas.microsoft.com/office/drawing/2014/main" id="{00000000-0008-0000-3400-000002000000}"/>
            </a:ext>
          </a:extLst>
        </xdr:cNvPr>
        <xdr:cNvPicPr>
          <a:picLocks noChangeAspect="1"/>
        </xdr:cNvPicPr>
      </xdr:nvPicPr>
      <xdr:blipFill>
        <a:blip xmlns:r="http://schemas.openxmlformats.org/officeDocument/2006/relationships" r:embed="rId1"/>
        <a:stretch>
          <a:fillRect/>
        </a:stretch>
      </xdr:blipFill>
      <xdr:spPr>
        <a:xfrm>
          <a:off x="609600" y="352425"/>
          <a:ext cx="9933333" cy="10352381"/>
        </a:xfrm>
        <a:prstGeom prst="rect">
          <a:avLst/>
        </a:prstGeom>
      </xdr:spPr>
    </xdr:pic>
    <xdr:clientData/>
  </xdr:twoCellAnchor>
  <xdr:twoCellAnchor editAs="oneCell">
    <xdr:from>
      <xdr:col>18</xdr:col>
      <xdr:colOff>0</xdr:colOff>
      <xdr:row>2</xdr:row>
      <xdr:rowOff>0</xdr:rowOff>
    </xdr:from>
    <xdr:to>
      <xdr:col>34</xdr:col>
      <xdr:colOff>208305</xdr:colOff>
      <xdr:row>52</xdr:row>
      <xdr:rowOff>27381</xdr:rowOff>
    </xdr:to>
    <xdr:pic>
      <xdr:nvPicPr>
        <xdr:cNvPr id="3" name="Picture 2">
          <a:extLst>
            <a:ext uri="{FF2B5EF4-FFF2-40B4-BE49-F238E27FC236}">
              <a16:creationId xmlns:a16="http://schemas.microsoft.com/office/drawing/2014/main" id="{00000000-0008-0000-3400-000003000000}"/>
            </a:ext>
          </a:extLst>
        </xdr:cNvPr>
        <xdr:cNvPicPr>
          <a:picLocks noChangeAspect="1"/>
        </xdr:cNvPicPr>
      </xdr:nvPicPr>
      <xdr:blipFill>
        <a:blip xmlns:r="http://schemas.openxmlformats.org/officeDocument/2006/relationships" r:embed="rId2"/>
        <a:stretch>
          <a:fillRect/>
        </a:stretch>
      </xdr:blipFill>
      <xdr:spPr>
        <a:xfrm>
          <a:off x="10972800" y="381000"/>
          <a:ext cx="9961905" cy="9552381"/>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17</xdr:col>
      <xdr:colOff>189257</xdr:colOff>
      <xdr:row>20</xdr:row>
      <xdr:rowOff>28143</xdr:rowOff>
    </xdr:to>
    <xdr:pic>
      <xdr:nvPicPr>
        <xdr:cNvPr id="8" name="Picture 7">
          <a:extLst>
            <a:ext uri="{FF2B5EF4-FFF2-40B4-BE49-F238E27FC236}">
              <a16:creationId xmlns:a16="http://schemas.microsoft.com/office/drawing/2014/main" id="{00000000-0008-0000-3500-000008000000}"/>
            </a:ext>
          </a:extLst>
        </xdr:cNvPr>
        <xdr:cNvPicPr>
          <a:picLocks noChangeAspect="1"/>
        </xdr:cNvPicPr>
      </xdr:nvPicPr>
      <xdr:blipFill>
        <a:blip xmlns:r="http://schemas.openxmlformats.org/officeDocument/2006/relationships" r:embed="rId1"/>
        <a:stretch>
          <a:fillRect/>
        </a:stretch>
      </xdr:blipFill>
      <xdr:spPr>
        <a:xfrm>
          <a:off x="609600" y="381000"/>
          <a:ext cx="9942857" cy="3457143"/>
        </a:xfrm>
        <a:prstGeom prst="rect">
          <a:avLst/>
        </a:prstGeom>
      </xdr:spPr>
    </xdr:pic>
    <xdr:clientData/>
  </xdr:twoCellAnchor>
  <xdr:twoCellAnchor editAs="oneCell">
    <xdr:from>
      <xdr:col>0</xdr:col>
      <xdr:colOff>581025</xdr:colOff>
      <xdr:row>20</xdr:row>
      <xdr:rowOff>142875</xdr:rowOff>
    </xdr:from>
    <xdr:to>
      <xdr:col>17</xdr:col>
      <xdr:colOff>179730</xdr:colOff>
      <xdr:row>44</xdr:row>
      <xdr:rowOff>37542</xdr:rowOff>
    </xdr:to>
    <xdr:pic>
      <xdr:nvPicPr>
        <xdr:cNvPr id="9" name="Picture 8">
          <a:extLst>
            <a:ext uri="{FF2B5EF4-FFF2-40B4-BE49-F238E27FC236}">
              <a16:creationId xmlns:a16="http://schemas.microsoft.com/office/drawing/2014/main" id="{00000000-0008-0000-3500-000009000000}"/>
            </a:ext>
          </a:extLst>
        </xdr:cNvPr>
        <xdr:cNvPicPr>
          <a:picLocks noChangeAspect="1"/>
        </xdr:cNvPicPr>
      </xdr:nvPicPr>
      <xdr:blipFill>
        <a:blip xmlns:r="http://schemas.openxmlformats.org/officeDocument/2006/relationships" r:embed="rId2"/>
        <a:stretch>
          <a:fillRect/>
        </a:stretch>
      </xdr:blipFill>
      <xdr:spPr>
        <a:xfrm>
          <a:off x="581025" y="3952875"/>
          <a:ext cx="9961905" cy="4466667"/>
        </a:xfrm>
        <a:prstGeom prst="rect">
          <a:avLst/>
        </a:prstGeom>
      </xdr:spPr>
    </xdr:pic>
    <xdr:clientData/>
  </xdr:twoCellAnchor>
  <xdr:twoCellAnchor editAs="oneCell">
    <xdr:from>
      <xdr:col>18</xdr:col>
      <xdr:colOff>0</xdr:colOff>
      <xdr:row>2</xdr:row>
      <xdr:rowOff>0</xdr:rowOff>
    </xdr:from>
    <xdr:to>
      <xdr:col>34</xdr:col>
      <xdr:colOff>198781</xdr:colOff>
      <xdr:row>47</xdr:row>
      <xdr:rowOff>17976</xdr:rowOff>
    </xdr:to>
    <xdr:pic>
      <xdr:nvPicPr>
        <xdr:cNvPr id="10" name="Picture 9">
          <a:extLst>
            <a:ext uri="{FF2B5EF4-FFF2-40B4-BE49-F238E27FC236}">
              <a16:creationId xmlns:a16="http://schemas.microsoft.com/office/drawing/2014/main" id="{00000000-0008-0000-3500-00000A000000}"/>
            </a:ext>
          </a:extLst>
        </xdr:cNvPr>
        <xdr:cNvPicPr>
          <a:picLocks noChangeAspect="1"/>
        </xdr:cNvPicPr>
      </xdr:nvPicPr>
      <xdr:blipFill>
        <a:blip xmlns:r="http://schemas.openxmlformats.org/officeDocument/2006/relationships" r:embed="rId3"/>
        <a:stretch>
          <a:fillRect/>
        </a:stretch>
      </xdr:blipFill>
      <xdr:spPr>
        <a:xfrm>
          <a:off x="10972800" y="381000"/>
          <a:ext cx="9952381" cy="8590476"/>
        </a:xfrm>
        <a:prstGeom prst="rect">
          <a:avLst/>
        </a:prstGeom>
      </xdr:spPr>
    </xdr:pic>
    <xdr:clientData/>
  </xdr:twoCellAnchor>
  <xdr:twoCellAnchor editAs="oneCell">
    <xdr:from>
      <xdr:col>18</xdr:col>
      <xdr:colOff>0</xdr:colOff>
      <xdr:row>48</xdr:row>
      <xdr:rowOff>28575</xdr:rowOff>
    </xdr:from>
    <xdr:to>
      <xdr:col>34</xdr:col>
      <xdr:colOff>208305</xdr:colOff>
      <xdr:row>70</xdr:row>
      <xdr:rowOff>170908</xdr:rowOff>
    </xdr:to>
    <xdr:pic>
      <xdr:nvPicPr>
        <xdr:cNvPr id="11" name="Picture 10">
          <a:extLst>
            <a:ext uri="{FF2B5EF4-FFF2-40B4-BE49-F238E27FC236}">
              <a16:creationId xmlns:a16="http://schemas.microsoft.com/office/drawing/2014/main" id="{00000000-0008-0000-3500-00000B000000}"/>
            </a:ext>
          </a:extLst>
        </xdr:cNvPr>
        <xdr:cNvPicPr>
          <a:picLocks noChangeAspect="1"/>
        </xdr:cNvPicPr>
      </xdr:nvPicPr>
      <xdr:blipFill>
        <a:blip xmlns:r="http://schemas.openxmlformats.org/officeDocument/2006/relationships" r:embed="rId4"/>
        <a:stretch>
          <a:fillRect/>
        </a:stretch>
      </xdr:blipFill>
      <xdr:spPr>
        <a:xfrm>
          <a:off x="10972800" y="9172575"/>
          <a:ext cx="9961905" cy="4333333"/>
        </a:xfrm>
        <a:prstGeom prst="rect">
          <a:avLst/>
        </a:prstGeom>
      </xdr:spPr>
    </xdr:pic>
    <xdr:clientData/>
  </xdr:twoCellAnchor>
  <xdr:twoCellAnchor editAs="oneCell">
    <xdr:from>
      <xdr:col>35</xdr:col>
      <xdr:colOff>0</xdr:colOff>
      <xdr:row>2</xdr:row>
      <xdr:rowOff>19050</xdr:rowOff>
    </xdr:from>
    <xdr:to>
      <xdr:col>51</xdr:col>
      <xdr:colOff>198781</xdr:colOff>
      <xdr:row>43</xdr:row>
      <xdr:rowOff>84740</xdr:rowOff>
    </xdr:to>
    <xdr:pic>
      <xdr:nvPicPr>
        <xdr:cNvPr id="12" name="Picture 11">
          <a:extLst>
            <a:ext uri="{FF2B5EF4-FFF2-40B4-BE49-F238E27FC236}">
              <a16:creationId xmlns:a16="http://schemas.microsoft.com/office/drawing/2014/main" id="{00000000-0008-0000-3500-00000C000000}"/>
            </a:ext>
          </a:extLst>
        </xdr:cNvPr>
        <xdr:cNvPicPr>
          <a:picLocks noChangeAspect="1"/>
        </xdr:cNvPicPr>
      </xdr:nvPicPr>
      <xdr:blipFill>
        <a:blip xmlns:r="http://schemas.openxmlformats.org/officeDocument/2006/relationships" r:embed="rId5"/>
        <a:stretch>
          <a:fillRect/>
        </a:stretch>
      </xdr:blipFill>
      <xdr:spPr>
        <a:xfrm>
          <a:off x="21336000" y="400050"/>
          <a:ext cx="9952381" cy="7876190"/>
        </a:xfrm>
        <a:prstGeom prst="rect">
          <a:avLst/>
        </a:prstGeom>
      </xdr:spPr>
    </xdr:pic>
    <xdr:clientData/>
  </xdr:twoCellAnchor>
  <xdr:twoCellAnchor editAs="oneCell">
    <xdr:from>
      <xdr:col>35</xdr:col>
      <xdr:colOff>0</xdr:colOff>
      <xdr:row>44</xdr:row>
      <xdr:rowOff>0</xdr:rowOff>
    </xdr:from>
    <xdr:to>
      <xdr:col>51</xdr:col>
      <xdr:colOff>189257</xdr:colOff>
      <xdr:row>66</xdr:row>
      <xdr:rowOff>113762</xdr:rowOff>
    </xdr:to>
    <xdr:pic>
      <xdr:nvPicPr>
        <xdr:cNvPr id="13" name="Picture 12">
          <a:extLst>
            <a:ext uri="{FF2B5EF4-FFF2-40B4-BE49-F238E27FC236}">
              <a16:creationId xmlns:a16="http://schemas.microsoft.com/office/drawing/2014/main" id="{00000000-0008-0000-3500-00000D000000}"/>
            </a:ext>
          </a:extLst>
        </xdr:cNvPr>
        <xdr:cNvPicPr>
          <a:picLocks noChangeAspect="1"/>
        </xdr:cNvPicPr>
      </xdr:nvPicPr>
      <xdr:blipFill>
        <a:blip xmlns:r="http://schemas.openxmlformats.org/officeDocument/2006/relationships" r:embed="rId6"/>
        <a:stretch>
          <a:fillRect/>
        </a:stretch>
      </xdr:blipFill>
      <xdr:spPr>
        <a:xfrm>
          <a:off x="21336000" y="8382000"/>
          <a:ext cx="9942857" cy="4304762"/>
        </a:xfrm>
        <a:prstGeom prst="rect">
          <a:avLst/>
        </a:prstGeom>
      </xdr:spPr>
    </xdr:pic>
    <xdr:clientData/>
  </xdr:twoCellAnchor>
  <xdr:twoCellAnchor editAs="oneCell">
    <xdr:from>
      <xdr:col>1</xdr:col>
      <xdr:colOff>0</xdr:colOff>
      <xdr:row>49</xdr:row>
      <xdr:rowOff>0</xdr:rowOff>
    </xdr:from>
    <xdr:to>
      <xdr:col>12</xdr:col>
      <xdr:colOff>580114</xdr:colOff>
      <xdr:row>59</xdr:row>
      <xdr:rowOff>28333</xdr:rowOff>
    </xdr:to>
    <xdr:pic>
      <xdr:nvPicPr>
        <xdr:cNvPr id="15" name="Picture 14">
          <a:extLst>
            <a:ext uri="{FF2B5EF4-FFF2-40B4-BE49-F238E27FC236}">
              <a16:creationId xmlns:a16="http://schemas.microsoft.com/office/drawing/2014/main" id="{00000000-0008-0000-3500-00000F000000}"/>
            </a:ext>
          </a:extLst>
        </xdr:cNvPr>
        <xdr:cNvPicPr>
          <a:picLocks noChangeAspect="1"/>
        </xdr:cNvPicPr>
      </xdr:nvPicPr>
      <xdr:blipFill>
        <a:blip xmlns:r="http://schemas.openxmlformats.org/officeDocument/2006/relationships" r:embed="rId7"/>
        <a:stretch>
          <a:fillRect/>
        </a:stretch>
      </xdr:blipFill>
      <xdr:spPr>
        <a:xfrm>
          <a:off x="609600" y="9334500"/>
          <a:ext cx="7285714" cy="1933333"/>
        </a:xfrm>
        <a:prstGeom prst="rect">
          <a:avLst/>
        </a:prstGeom>
      </xdr:spPr>
    </xdr:pic>
    <xdr:clientData/>
  </xdr:twoCellAnchor>
</xdr:wsDr>
</file>

<file path=xl/drawings/drawing53.xml><?xml version="1.0" encoding="utf-8"?>
<xdr:wsDr xmlns:xdr="http://schemas.openxmlformats.org/drawingml/2006/spreadsheetDrawing" xmlns:a="http://schemas.openxmlformats.org/drawingml/2006/main">
  <xdr:twoCellAnchor editAs="oneCell">
    <xdr:from>
      <xdr:col>11</xdr:col>
      <xdr:colOff>600075</xdr:colOff>
      <xdr:row>28</xdr:row>
      <xdr:rowOff>0</xdr:rowOff>
    </xdr:from>
    <xdr:to>
      <xdr:col>17</xdr:col>
      <xdr:colOff>85332</xdr:colOff>
      <xdr:row>44</xdr:row>
      <xdr:rowOff>151993</xdr:rowOff>
    </xdr:to>
    <xdr:pic>
      <xdr:nvPicPr>
        <xdr:cNvPr id="2" name="Picture 1">
          <a:extLst>
            <a:ext uri="{FF2B5EF4-FFF2-40B4-BE49-F238E27FC236}">
              <a16:creationId xmlns:a16="http://schemas.microsoft.com/office/drawing/2014/main" id="{00000000-0008-0000-3600-000002000000}"/>
            </a:ext>
          </a:extLst>
        </xdr:cNvPr>
        <xdr:cNvPicPr>
          <a:picLocks noChangeAspect="1"/>
        </xdr:cNvPicPr>
      </xdr:nvPicPr>
      <xdr:blipFill>
        <a:blip xmlns:r="http://schemas.openxmlformats.org/officeDocument/2006/relationships" r:embed="rId1"/>
        <a:stretch>
          <a:fillRect/>
        </a:stretch>
      </xdr:blipFill>
      <xdr:spPr>
        <a:xfrm>
          <a:off x="13916025" y="5676900"/>
          <a:ext cx="3142857" cy="3257143"/>
        </a:xfrm>
        <a:prstGeom prst="rect">
          <a:avLst/>
        </a:prstGeom>
      </xdr:spPr>
    </xdr:pic>
    <xdr:clientData/>
  </xdr:twoCellAnchor>
  <xdr:twoCellAnchor editAs="oneCell">
    <xdr:from>
      <xdr:col>11</xdr:col>
      <xdr:colOff>600075</xdr:colOff>
      <xdr:row>15</xdr:row>
      <xdr:rowOff>9525</xdr:rowOff>
    </xdr:from>
    <xdr:to>
      <xdr:col>28</xdr:col>
      <xdr:colOff>217827</xdr:colOff>
      <xdr:row>26</xdr:row>
      <xdr:rowOff>47358</xdr:rowOff>
    </xdr:to>
    <xdr:pic>
      <xdr:nvPicPr>
        <xdr:cNvPr id="3" name="Picture 2">
          <a:extLst>
            <a:ext uri="{FF2B5EF4-FFF2-40B4-BE49-F238E27FC236}">
              <a16:creationId xmlns:a16="http://schemas.microsoft.com/office/drawing/2014/main" id="{00000000-0008-0000-3600-000003000000}"/>
            </a:ext>
          </a:extLst>
        </xdr:cNvPr>
        <xdr:cNvPicPr>
          <a:picLocks noChangeAspect="1"/>
        </xdr:cNvPicPr>
      </xdr:nvPicPr>
      <xdr:blipFill>
        <a:blip xmlns:r="http://schemas.openxmlformats.org/officeDocument/2006/relationships" r:embed="rId2"/>
        <a:stretch>
          <a:fillRect/>
        </a:stretch>
      </xdr:blipFill>
      <xdr:spPr>
        <a:xfrm>
          <a:off x="13916025" y="3209925"/>
          <a:ext cx="9980952" cy="2133333"/>
        </a:xfrm>
        <a:prstGeom prst="rect">
          <a:avLst/>
        </a:prstGeom>
      </xdr:spPr>
    </xdr:pic>
    <xdr:clientData/>
  </xdr:twoCellAnchor>
  <xdr:twoCellAnchor editAs="oneCell">
    <xdr:from>
      <xdr:col>12</xdr:col>
      <xdr:colOff>0</xdr:colOff>
      <xdr:row>3</xdr:row>
      <xdr:rowOff>0</xdr:rowOff>
    </xdr:from>
    <xdr:to>
      <xdr:col>28</xdr:col>
      <xdr:colOff>236876</xdr:colOff>
      <xdr:row>12</xdr:row>
      <xdr:rowOff>142612</xdr:rowOff>
    </xdr:to>
    <xdr:pic>
      <xdr:nvPicPr>
        <xdr:cNvPr id="4" name="Picture 3">
          <a:extLst>
            <a:ext uri="{FF2B5EF4-FFF2-40B4-BE49-F238E27FC236}">
              <a16:creationId xmlns:a16="http://schemas.microsoft.com/office/drawing/2014/main" id="{00000000-0008-0000-3600-000004000000}"/>
            </a:ext>
          </a:extLst>
        </xdr:cNvPr>
        <xdr:cNvPicPr>
          <a:picLocks noChangeAspect="1"/>
        </xdr:cNvPicPr>
      </xdr:nvPicPr>
      <xdr:blipFill>
        <a:blip xmlns:r="http://schemas.openxmlformats.org/officeDocument/2006/relationships" r:embed="rId3"/>
        <a:stretch>
          <a:fillRect/>
        </a:stretch>
      </xdr:blipFill>
      <xdr:spPr>
        <a:xfrm>
          <a:off x="13925550" y="666750"/>
          <a:ext cx="9990476" cy="2104762"/>
        </a:xfrm>
        <a:prstGeom prst="rect">
          <a:avLst/>
        </a:prstGeom>
      </xdr:spPr>
    </xdr:pic>
    <xdr:clientData/>
  </xdr:twoCellAnchor>
</xdr:wsDr>
</file>

<file path=xl/drawings/drawing54.xml><?xml version="1.0" encoding="utf-8"?>
<xdr:wsDr xmlns:xdr="http://schemas.openxmlformats.org/drawingml/2006/spreadsheetDrawing" xmlns:a="http://schemas.openxmlformats.org/drawingml/2006/main">
  <xdr:twoCellAnchor editAs="oneCell">
    <xdr:from>
      <xdr:col>1</xdr:col>
      <xdr:colOff>0</xdr:colOff>
      <xdr:row>39</xdr:row>
      <xdr:rowOff>0</xdr:rowOff>
    </xdr:from>
    <xdr:to>
      <xdr:col>6</xdr:col>
      <xdr:colOff>1294176</xdr:colOff>
      <xdr:row>56</xdr:row>
      <xdr:rowOff>47214</xdr:rowOff>
    </xdr:to>
    <xdr:pic>
      <xdr:nvPicPr>
        <xdr:cNvPr id="2" name="Picture 1">
          <a:extLst>
            <a:ext uri="{FF2B5EF4-FFF2-40B4-BE49-F238E27FC236}">
              <a16:creationId xmlns:a16="http://schemas.microsoft.com/office/drawing/2014/main" id="{00000000-0008-0000-3700-000002000000}"/>
            </a:ext>
          </a:extLst>
        </xdr:cNvPr>
        <xdr:cNvPicPr>
          <a:picLocks noChangeAspect="1"/>
        </xdr:cNvPicPr>
      </xdr:nvPicPr>
      <xdr:blipFill>
        <a:blip xmlns:r="http://schemas.openxmlformats.org/officeDocument/2006/relationships" r:embed="rId1"/>
        <a:stretch>
          <a:fillRect/>
        </a:stretch>
      </xdr:blipFill>
      <xdr:spPr>
        <a:xfrm>
          <a:off x="609600" y="7658100"/>
          <a:ext cx="9790476" cy="3285714"/>
        </a:xfrm>
        <a:prstGeom prst="rect">
          <a:avLst/>
        </a:prstGeom>
      </xdr:spPr>
    </xdr:pic>
    <xdr:clientData/>
  </xdr:twoCellAnchor>
  <xdr:twoCellAnchor editAs="oneCell">
    <xdr:from>
      <xdr:col>7</xdr:col>
      <xdr:colOff>2486025</xdr:colOff>
      <xdr:row>32</xdr:row>
      <xdr:rowOff>0</xdr:rowOff>
    </xdr:from>
    <xdr:to>
      <xdr:col>10</xdr:col>
      <xdr:colOff>113907</xdr:colOff>
      <xdr:row>48</xdr:row>
      <xdr:rowOff>161518</xdr:rowOff>
    </xdr:to>
    <xdr:pic>
      <xdr:nvPicPr>
        <xdr:cNvPr id="3" name="Picture 2">
          <a:extLst>
            <a:ext uri="{FF2B5EF4-FFF2-40B4-BE49-F238E27FC236}">
              <a16:creationId xmlns:a16="http://schemas.microsoft.com/office/drawing/2014/main" id="{00000000-0008-0000-3700-000003000000}"/>
            </a:ext>
          </a:extLst>
        </xdr:cNvPr>
        <xdr:cNvPicPr>
          <a:picLocks noChangeAspect="1"/>
        </xdr:cNvPicPr>
      </xdr:nvPicPr>
      <xdr:blipFill>
        <a:blip xmlns:r="http://schemas.openxmlformats.org/officeDocument/2006/relationships" r:embed="rId2"/>
        <a:stretch>
          <a:fillRect/>
        </a:stretch>
      </xdr:blipFill>
      <xdr:spPr>
        <a:xfrm>
          <a:off x="13201650" y="6276975"/>
          <a:ext cx="3142857" cy="325714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3</xdr:col>
          <xdr:colOff>59871</xdr:colOff>
          <xdr:row>5</xdr:row>
          <xdr:rowOff>10886</xdr:rowOff>
        </xdr:from>
        <xdr:to>
          <xdr:col>3</xdr:col>
          <xdr:colOff>647700</xdr:colOff>
          <xdr:row>6</xdr:row>
          <xdr:rowOff>21771</xdr:rowOff>
        </xdr:to>
        <xdr:sp macro="" textlink="">
          <xdr:nvSpPr>
            <xdr:cNvPr id="20481" name="Object 1" hidden="1">
              <a:extLst>
                <a:ext uri="{63B3BB69-23CF-44E3-9099-C40C66FF867C}">
                  <a14:compatExt spid="_x0000_s20481"/>
                </a:ext>
                <a:ext uri="{FF2B5EF4-FFF2-40B4-BE49-F238E27FC236}">
                  <a16:creationId xmlns:a16="http://schemas.microsoft.com/office/drawing/2014/main" id="{00000000-0008-0000-3700-0000015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59871</xdr:colOff>
          <xdr:row>6</xdr:row>
          <xdr:rowOff>10886</xdr:rowOff>
        </xdr:from>
        <xdr:to>
          <xdr:col>5</xdr:col>
          <xdr:colOff>647700</xdr:colOff>
          <xdr:row>6</xdr:row>
          <xdr:rowOff>174171</xdr:rowOff>
        </xdr:to>
        <xdr:sp macro="" textlink="">
          <xdr:nvSpPr>
            <xdr:cNvPr id="20482" name="Object 2" hidden="1">
              <a:extLst>
                <a:ext uri="{63B3BB69-23CF-44E3-9099-C40C66FF867C}">
                  <a14:compatExt spid="_x0000_s20482"/>
                </a:ext>
                <a:ext uri="{FF2B5EF4-FFF2-40B4-BE49-F238E27FC236}">
                  <a16:creationId xmlns:a16="http://schemas.microsoft.com/office/drawing/2014/main" id="{00000000-0008-0000-3700-0000025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59871</xdr:colOff>
          <xdr:row>5</xdr:row>
          <xdr:rowOff>10886</xdr:rowOff>
        </xdr:from>
        <xdr:to>
          <xdr:col>7</xdr:col>
          <xdr:colOff>647700</xdr:colOff>
          <xdr:row>6</xdr:row>
          <xdr:rowOff>21771</xdr:rowOff>
        </xdr:to>
        <xdr:sp macro="" textlink="">
          <xdr:nvSpPr>
            <xdr:cNvPr id="20483" name="Object 3" hidden="1">
              <a:extLst>
                <a:ext uri="{63B3BB69-23CF-44E3-9099-C40C66FF867C}">
                  <a14:compatExt spid="_x0000_s20483"/>
                </a:ext>
                <a:ext uri="{FF2B5EF4-FFF2-40B4-BE49-F238E27FC236}">
                  <a16:creationId xmlns:a16="http://schemas.microsoft.com/office/drawing/2014/main" id="{00000000-0008-0000-3700-0000035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59871</xdr:colOff>
          <xdr:row>6</xdr:row>
          <xdr:rowOff>10886</xdr:rowOff>
        </xdr:from>
        <xdr:to>
          <xdr:col>7</xdr:col>
          <xdr:colOff>647700</xdr:colOff>
          <xdr:row>6</xdr:row>
          <xdr:rowOff>163286</xdr:rowOff>
        </xdr:to>
        <xdr:sp macro="" textlink="">
          <xdr:nvSpPr>
            <xdr:cNvPr id="20484" name="Object 4" hidden="1">
              <a:extLst>
                <a:ext uri="{63B3BB69-23CF-44E3-9099-C40C66FF867C}">
                  <a14:compatExt spid="_x0000_s20484"/>
                </a:ext>
                <a:ext uri="{FF2B5EF4-FFF2-40B4-BE49-F238E27FC236}">
                  <a16:creationId xmlns:a16="http://schemas.microsoft.com/office/drawing/2014/main" id="{00000000-0008-0000-3700-0000045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xdr:col>
      <xdr:colOff>328614</xdr:colOff>
      <xdr:row>12</xdr:row>
      <xdr:rowOff>33337</xdr:rowOff>
    </xdr:from>
    <xdr:to>
      <xdr:col>3</xdr:col>
      <xdr:colOff>538164</xdr:colOff>
      <xdr:row>44</xdr:row>
      <xdr:rowOff>33337</xdr:rowOff>
    </xdr:to>
    <xdr:pic>
      <xdr:nvPicPr>
        <xdr:cNvPr id="8" name="Picture 7">
          <a:extLst>
            <a:ext uri="{FF2B5EF4-FFF2-40B4-BE49-F238E27FC236}">
              <a16:creationId xmlns:a16="http://schemas.microsoft.com/office/drawing/2014/main" id="{00000000-0008-0000-3700-000008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rot="18115735">
          <a:off x="581026" y="5457825"/>
          <a:ext cx="6162675"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37369</xdr:colOff>
      <xdr:row>8</xdr:row>
      <xdr:rowOff>185737</xdr:rowOff>
    </xdr:from>
    <xdr:to>
      <xdr:col>2</xdr:col>
      <xdr:colOff>246919</xdr:colOff>
      <xdr:row>40</xdr:row>
      <xdr:rowOff>185737</xdr:rowOff>
    </xdr:to>
    <xdr:pic>
      <xdr:nvPicPr>
        <xdr:cNvPr id="9" name="Picture 8">
          <a:extLst>
            <a:ext uri="{FF2B5EF4-FFF2-40B4-BE49-F238E27FC236}">
              <a16:creationId xmlns:a16="http://schemas.microsoft.com/office/drawing/2014/main" id="{00000000-0008-0000-3700-000009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rot="16359791">
          <a:off x="-1491394" y="4848225"/>
          <a:ext cx="6162675"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1166812</xdr:colOff>
      <xdr:row>13</xdr:row>
      <xdr:rowOff>147636</xdr:rowOff>
    </xdr:from>
    <xdr:to>
      <xdr:col>5</xdr:col>
      <xdr:colOff>1376362</xdr:colOff>
      <xdr:row>45</xdr:row>
      <xdr:rowOff>147636</xdr:rowOff>
    </xdr:to>
    <xdr:pic>
      <xdr:nvPicPr>
        <xdr:cNvPr id="10" name="Picture 9">
          <a:extLst>
            <a:ext uri="{FF2B5EF4-FFF2-40B4-BE49-F238E27FC236}">
              <a16:creationId xmlns:a16="http://schemas.microsoft.com/office/drawing/2014/main" id="{00000000-0008-0000-3700-00000A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rot="18511528">
          <a:off x="5248274" y="5762624"/>
          <a:ext cx="6162675"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228598</xdr:colOff>
      <xdr:row>36</xdr:row>
      <xdr:rowOff>28575</xdr:rowOff>
    </xdr:from>
    <xdr:to>
      <xdr:col>7</xdr:col>
      <xdr:colOff>1228723</xdr:colOff>
      <xdr:row>36</xdr:row>
      <xdr:rowOff>76200</xdr:rowOff>
    </xdr:to>
    <xdr:pic>
      <xdr:nvPicPr>
        <xdr:cNvPr id="11" name="Picture 10">
          <a:extLst>
            <a:ext uri="{FF2B5EF4-FFF2-40B4-BE49-F238E27FC236}">
              <a16:creationId xmlns:a16="http://schemas.microsoft.com/office/drawing/2014/main" id="{00000000-0008-0000-3700-00000B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rot="18901113">
          <a:off x="5238748" y="7067550"/>
          <a:ext cx="7143750" cy="47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1295400</xdr:colOff>
      <xdr:row>19</xdr:row>
      <xdr:rowOff>180975</xdr:rowOff>
    </xdr:from>
    <xdr:to>
      <xdr:col>9</xdr:col>
      <xdr:colOff>647700</xdr:colOff>
      <xdr:row>20</xdr:row>
      <xdr:rowOff>38100</xdr:rowOff>
    </xdr:to>
    <xdr:pic>
      <xdr:nvPicPr>
        <xdr:cNvPr id="12" name="Picture 11">
          <a:extLst>
            <a:ext uri="{FF2B5EF4-FFF2-40B4-BE49-F238E27FC236}">
              <a16:creationId xmlns:a16="http://schemas.microsoft.com/office/drawing/2014/main" id="{00000000-0008-0000-3700-00000C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rot="18901113">
          <a:off x="8353425" y="3962400"/>
          <a:ext cx="7143750" cy="47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781051</xdr:colOff>
      <xdr:row>7</xdr:row>
      <xdr:rowOff>38101</xdr:rowOff>
    </xdr:from>
    <xdr:to>
      <xdr:col>8</xdr:col>
      <xdr:colOff>1304926</xdr:colOff>
      <xdr:row>8</xdr:row>
      <xdr:rowOff>38101</xdr:rowOff>
    </xdr:to>
    <xdr:pic>
      <xdr:nvPicPr>
        <xdr:cNvPr id="13" name="Picture 12">
          <a:extLst>
            <a:ext uri="{FF2B5EF4-FFF2-40B4-BE49-F238E27FC236}">
              <a16:creationId xmlns:a16="http://schemas.microsoft.com/office/drawing/2014/main" id="{00000000-0008-0000-3700-00000D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rot="8100577">
          <a:off x="13982701" y="1533526"/>
          <a:ext cx="523875" cy="190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19050</xdr:colOff>
      <xdr:row>1</xdr:row>
      <xdr:rowOff>266700</xdr:rowOff>
    </xdr:from>
    <xdr:to>
      <xdr:col>27</xdr:col>
      <xdr:colOff>379637</xdr:colOff>
      <xdr:row>35</xdr:row>
      <xdr:rowOff>156808</xdr:rowOff>
    </xdr:to>
    <xdr:pic>
      <xdr:nvPicPr>
        <xdr:cNvPr id="14" name="Picture 13">
          <a:extLst>
            <a:ext uri="{FF2B5EF4-FFF2-40B4-BE49-F238E27FC236}">
              <a16:creationId xmlns:a16="http://schemas.microsoft.com/office/drawing/2014/main" id="{00000000-0008-0000-3700-00000E000000}"/>
            </a:ext>
          </a:extLst>
        </xdr:cNvPr>
        <xdr:cNvPicPr>
          <a:picLocks noChangeAspect="1"/>
        </xdr:cNvPicPr>
      </xdr:nvPicPr>
      <xdr:blipFill>
        <a:blip xmlns:r="http://schemas.openxmlformats.org/officeDocument/2006/relationships" r:embed="rId6"/>
        <a:stretch>
          <a:fillRect/>
        </a:stretch>
      </xdr:blipFill>
      <xdr:spPr>
        <a:xfrm>
          <a:off x="17468850" y="457200"/>
          <a:ext cx="9504587" cy="6538558"/>
        </a:xfrm>
        <a:prstGeom prst="rect">
          <a:avLst/>
        </a:prstGeom>
      </xdr:spPr>
    </xdr:pic>
    <xdr:clientData/>
  </xdr:twoCellAnchor>
  <xdr:twoCellAnchor editAs="oneCell">
    <xdr:from>
      <xdr:col>12</xdr:col>
      <xdr:colOff>1</xdr:colOff>
      <xdr:row>38</xdr:row>
      <xdr:rowOff>1</xdr:rowOff>
    </xdr:from>
    <xdr:to>
      <xdr:col>27</xdr:col>
      <xdr:colOff>485269</xdr:colOff>
      <xdr:row>58</xdr:row>
      <xdr:rowOff>19051</xdr:rowOff>
    </xdr:to>
    <xdr:pic>
      <xdr:nvPicPr>
        <xdr:cNvPr id="15" name="Picture 14">
          <a:extLst>
            <a:ext uri="{FF2B5EF4-FFF2-40B4-BE49-F238E27FC236}">
              <a16:creationId xmlns:a16="http://schemas.microsoft.com/office/drawing/2014/main" id="{00000000-0008-0000-37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7449801" y="7467601"/>
          <a:ext cx="9629268" cy="3829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9</xdr:col>
      <xdr:colOff>0</xdr:colOff>
      <xdr:row>4</xdr:row>
      <xdr:rowOff>0</xdr:rowOff>
    </xdr:from>
    <xdr:to>
      <xdr:col>25</xdr:col>
      <xdr:colOff>255924</xdr:colOff>
      <xdr:row>15</xdr:row>
      <xdr:rowOff>161634</xdr:rowOff>
    </xdr:to>
    <xdr:pic>
      <xdr:nvPicPr>
        <xdr:cNvPr id="2" name="Picture 1">
          <a:extLst>
            <a:ext uri="{FF2B5EF4-FFF2-40B4-BE49-F238E27FC236}">
              <a16:creationId xmlns:a16="http://schemas.microsoft.com/office/drawing/2014/main" id="{00000000-0008-0000-3800-000002000000}"/>
            </a:ext>
          </a:extLst>
        </xdr:cNvPr>
        <xdr:cNvPicPr>
          <a:picLocks noChangeAspect="1"/>
        </xdr:cNvPicPr>
      </xdr:nvPicPr>
      <xdr:blipFill>
        <a:blip xmlns:r="http://schemas.openxmlformats.org/officeDocument/2006/relationships" r:embed="rId1"/>
        <a:stretch>
          <a:fillRect/>
        </a:stretch>
      </xdr:blipFill>
      <xdr:spPr>
        <a:xfrm>
          <a:off x="11049000" y="857250"/>
          <a:ext cx="10009524" cy="2323809"/>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oneCellAnchor>
    <xdr:from>
      <xdr:col>11</xdr:col>
      <xdr:colOff>1485900</xdr:colOff>
      <xdr:row>64</xdr:row>
      <xdr:rowOff>47625</xdr:rowOff>
    </xdr:from>
    <xdr:ext cx="9942857" cy="4304762"/>
    <xdr:pic>
      <xdr:nvPicPr>
        <xdr:cNvPr id="2" name="Picture 1">
          <a:extLst>
            <a:ext uri="{FF2B5EF4-FFF2-40B4-BE49-F238E27FC236}">
              <a16:creationId xmlns:a16="http://schemas.microsoft.com/office/drawing/2014/main" id="{00000000-0008-0000-3900-000002000000}"/>
            </a:ext>
          </a:extLst>
        </xdr:cNvPr>
        <xdr:cNvPicPr>
          <a:picLocks noChangeAspect="1"/>
        </xdr:cNvPicPr>
      </xdr:nvPicPr>
      <xdr:blipFill>
        <a:blip xmlns:r="http://schemas.openxmlformats.org/officeDocument/2006/relationships" r:embed="rId1"/>
        <a:stretch>
          <a:fillRect/>
        </a:stretch>
      </xdr:blipFill>
      <xdr:spPr>
        <a:xfrm>
          <a:off x="14030325" y="14106525"/>
          <a:ext cx="9942857" cy="4304762"/>
        </a:xfrm>
        <a:prstGeom prst="rect">
          <a:avLst/>
        </a:prstGeom>
      </xdr:spPr>
    </xdr:pic>
    <xdr:clientData/>
  </xdr:oneCellAnchor>
  <xdr:twoCellAnchor editAs="oneCell">
    <xdr:from>
      <xdr:col>1</xdr:col>
      <xdr:colOff>0</xdr:colOff>
      <xdr:row>63</xdr:row>
      <xdr:rowOff>180975</xdr:rowOff>
    </xdr:from>
    <xdr:to>
      <xdr:col>9</xdr:col>
      <xdr:colOff>1056030</xdr:colOff>
      <xdr:row>86</xdr:row>
      <xdr:rowOff>132808</xdr:rowOff>
    </xdr:to>
    <xdr:pic>
      <xdr:nvPicPr>
        <xdr:cNvPr id="3" name="Picture 2">
          <a:extLst>
            <a:ext uri="{FF2B5EF4-FFF2-40B4-BE49-F238E27FC236}">
              <a16:creationId xmlns:a16="http://schemas.microsoft.com/office/drawing/2014/main" id="{00000000-0008-0000-3900-000003000000}"/>
            </a:ext>
          </a:extLst>
        </xdr:cNvPr>
        <xdr:cNvPicPr>
          <a:picLocks noChangeAspect="1"/>
        </xdr:cNvPicPr>
      </xdr:nvPicPr>
      <xdr:blipFill>
        <a:blip xmlns:r="http://schemas.openxmlformats.org/officeDocument/2006/relationships" r:embed="rId2"/>
        <a:stretch>
          <a:fillRect/>
        </a:stretch>
      </xdr:blipFill>
      <xdr:spPr>
        <a:xfrm>
          <a:off x="609600" y="14049375"/>
          <a:ext cx="9961905" cy="4333333"/>
        </a:xfrm>
        <a:prstGeom prst="rect">
          <a:avLst/>
        </a:prstGeom>
      </xdr:spPr>
    </xdr:pic>
    <xdr:clientData/>
  </xdr:twoCellAnchor>
  <xdr:twoCellAnchor editAs="oneCell">
    <xdr:from>
      <xdr:col>18</xdr:col>
      <xdr:colOff>47625</xdr:colOff>
      <xdr:row>66</xdr:row>
      <xdr:rowOff>19050</xdr:rowOff>
    </xdr:from>
    <xdr:to>
      <xdr:col>34</xdr:col>
      <xdr:colOff>265453</xdr:colOff>
      <xdr:row>108</xdr:row>
      <xdr:rowOff>170431</xdr:rowOff>
    </xdr:to>
    <xdr:pic>
      <xdr:nvPicPr>
        <xdr:cNvPr id="4" name="Picture 3">
          <a:extLst>
            <a:ext uri="{FF2B5EF4-FFF2-40B4-BE49-F238E27FC236}">
              <a16:creationId xmlns:a16="http://schemas.microsoft.com/office/drawing/2014/main" id="{00000000-0008-0000-3900-000004000000}"/>
            </a:ext>
          </a:extLst>
        </xdr:cNvPr>
        <xdr:cNvPicPr>
          <a:picLocks noChangeAspect="1"/>
        </xdr:cNvPicPr>
      </xdr:nvPicPr>
      <xdr:blipFill>
        <a:blip xmlns:r="http://schemas.openxmlformats.org/officeDocument/2006/relationships" r:embed="rId3"/>
        <a:stretch>
          <a:fillRect/>
        </a:stretch>
      </xdr:blipFill>
      <xdr:spPr>
        <a:xfrm>
          <a:off x="23336250" y="14458950"/>
          <a:ext cx="9971428" cy="8152381"/>
        </a:xfrm>
        <a:prstGeom prst="rect">
          <a:avLst/>
        </a:prstGeom>
      </xdr:spPr>
    </xdr:pic>
    <xdr:clientData/>
  </xdr:twoCellAnchor>
  <xdr:twoCellAnchor editAs="oneCell">
    <xdr:from>
      <xdr:col>16</xdr:col>
      <xdr:colOff>1485900</xdr:colOff>
      <xdr:row>33</xdr:row>
      <xdr:rowOff>0</xdr:rowOff>
    </xdr:from>
    <xdr:to>
      <xdr:col>31</xdr:col>
      <xdr:colOff>475007</xdr:colOff>
      <xdr:row>47</xdr:row>
      <xdr:rowOff>85293</xdr:rowOff>
    </xdr:to>
    <xdr:pic>
      <xdr:nvPicPr>
        <xdr:cNvPr id="5" name="Picture 4">
          <a:extLst>
            <a:ext uri="{FF2B5EF4-FFF2-40B4-BE49-F238E27FC236}">
              <a16:creationId xmlns:a16="http://schemas.microsoft.com/office/drawing/2014/main" id="{00000000-0008-0000-3900-000005000000}"/>
            </a:ext>
          </a:extLst>
        </xdr:cNvPr>
        <xdr:cNvPicPr>
          <a:picLocks noChangeAspect="1"/>
        </xdr:cNvPicPr>
      </xdr:nvPicPr>
      <xdr:blipFill>
        <a:blip xmlns:r="http://schemas.openxmlformats.org/officeDocument/2006/relationships" r:embed="rId4"/>
        <a:stretch>
          <a:fillRect/>
        </a:stretch>
      </xdr:blipFill>
      <xdr:spPr>
        <a:xfrm>
          <a:off x="21745575" y="7239000"/>
          <a:ext cx="9942857" cy="3457143"/>
        </a:xfrm>
        <a:prstGeom prst="rect">
          <a:avLst/>
        </a:prstGeom>
      </xdr:spPr>
    </xdr:pic>
    <xdr:clientData/>
  </xdr:twoCellAnchor>
  <xdr:twoCellAnchor editAs="oneCell">
    <xdr:from>
      <xdr:col>18</xdr:col>
      <xdr:colOff>600075</xdr:colOff>
      <xdr:row>1</xdr:row>
      <xdr:rowOff>180975</xdr:rowOff>
    </xdr:from>
    <xdr:to>
      <xdr:col>35</xdr:col>
      <xdr:colOff>198780</xdr:colOff>
      <xdr:row>22</xdr:row>
      <xdr:rowOff>151842</xdr:rowOff>
    </xdr:to>
    <xdr:pic>
      <xdr:nvPicPr>
        <xdr:cNvPr id="6" name="Picture 5">
          <a:extLst>
            <a:ext uri="{FF2B5EF4-FFF2-40B4-BE49-F238E27FC236}">
              <a16:creationId xmlns:a16="http://schemas.microsoft.com/office/drawing/2014/main" id="{00000000-0008-0000-3900-000006000000}"/>
            </a:ext>
          </a:extLst>
        </xdr:cNvPr>
        <xdr:cNvPicPr>
          <a:picLocks noChangeAspect="1"/>
        </xdr:cNvPicPr>
      </xdr:nvPicPr>
      <xdr:blipFill>
        <a:blip xmlns:r="http://schemas.openxmlformats.org/officeDocument/2006/relationships" r:embed="rId5"/>
        <a:stretch>
          <a:fillRect/>
        </a:stretch>
      </xdr:blipFill>
      <xdr:spPr>
        <a:xfrm>
          <a:off x="23888700" y="371475"/>
          <a:ext cx="9961905" cy="4466667"/>
        </a:xfrm>
        <a:prstGeom prst="rect">
          <a:avLst/>
        </a:prstGeom>
      </xdr:spPr>
    </xdr:pic>
    <xdr:clientData/>
  </xdr:twoCellAnchor>
  <xdr:twoCellAnchor editAs="oneCell">
    <xdr:from>
      <xdr:col>20</xdr:col>
      <xdr:colOff>180974</xdr:colOff>
      <xdr:row>12</xdr:row>
      <xdr:rowOff>57152</xdr:rowOff>
    </xdr:from>
    <xdr:to>
      <xdr:col>20</xdr:col>
      <xdr:colOff>390524</xdr:colOff>
      <xdr:row>40</xdr:row>
      <xdr:rowOff>161927</xdr:rowOff>
    </xdr:to>
    <xdr:pic>
      <xdr:nvPicPr>
        <xdr:cNvPr id="7" name="Picture 6">
          <a:extLst>
            <a:ext uri="{FF2B5EF4-FFF2-40B4-BE49-F238E27FC236}">
              <a16:creationId xmlns:a16="http://schemas.microsoft.com/office/drawing/2014/main" id="{00000000-0008-0000-39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rot="13507641">
          <a:off x="21712236" y="6253165"/>
          <a:ext cx="6162675"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444499</xdr:colOff>
      <xdr:row>12</xdr:row>
      <xdr:rowOff>34923</xdr:rowOff>
    </xdr:from>
    <xdr:to>
      <xdr:col>16</xdr:col>
      <xdr:colOff>647699</xdr:colOff>
      <xdr:row>40</xdr:row>
      <xdr:rowOff>146048</xdr:rowOff>
    </xdr:to>
    <xdr:pic>
      <xdr:nvPicPr>
        <xdr:cNvPr id="8" name="Picture 7">
          <a:extLst>
            <a:ext uri="{FF2B5EF4-FFF2-40B4-BE49-F238E27FC236}">
              <a16:creationId xmlns:a16="http://schemas.microsoft.com/office/drawing/2014/main" id="{00000000-0008-0000-39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rot="14762494">
          <a:off x="17721261" y="6237286"/>
          <a:ext cx="6169025" cy="203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1038225</xdr:colOff>
      <xdr:row>20</xdr:row>
      <xdr:rowOff>180974</xdr:rowOff>
    </xdr:from>
    <xdr:to>
      <xdr:col>23</xdr:col>
      <xdr:colOff>590550</xdr:colOff>
      <xdr:row>21</xdr:row>
      <xdr:rowOff>38099</xdr:rowOff>
    </xdr:to>
    <xdr:pic>
      <xdr:nvPicPr>
        <xdr:cNvPr id="9" name="Picture 8">
          <a:extLst>
            <a:ext uri="{FF2B5EF4-FFF2-40B4-BE49-F238E27FC236}">
              <a16:creationId xmlns:a16="http://schemas.microsoft.com/office/drawing/2014/main" id="{00000000-0008-0000-3900-000009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rot="13480849">
          <a:off x="19783425" y="4924424"/>
          <a:ext cx="7143750" cy="47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538162</xdr:colOff>
      <xdr:row>11</xdr:row>
      <xdr:rowOff>4763</xdr:rowOff>
    </xdr:from>
    <xdr:to>
      <xdr:col>21</xdr:col>
      <xdr:colOff>585787</xdr:colOff>
      <xdr:row>44</xdr:row>
      <xdr:rowOff>138113</xdr:rowOff>
    </xdr:to>
    <xdr:pic>
      <xdr:nvPicPr>
        <xdr:cNvPr id="10" name="Picture 9">
          <a:extLst>
            <a:ext uri="{FF2B5EF4-FFF2-40B4-BE49-F238E27FC236}">
              <a16:creationId xmlns:a16="http://schemas.microsoft.com/office/drawing/2014/main" id="{00000000-0008-0000-3900-00000A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rot="13836881">
          <a:off x="22107525" y="6581775"/>
          <a:ext cx="7143750" cy="47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19</xdr:col>
      <xdr:colOff>171449</xdr:colOff>
      <xdr:row>6</xdr:row>
      <xdr:rowOff>28573</xdr:rowOff>
    </xdr:from>
    <xdr:to>
      <xdr:col>19</xdr:col>
      <xdr:colOff>380999</xdr:colOff>
      <xdr:row>35</xdr:row>
      <xdr:rowOff>552448</xdr:rowOff>
    </xdr:to>
    <xdr:pic>
      <xdr:nvPicPr>
        <xdr:cNvPr id="11" name="Picture 10">
          <a:extLst>
            <a:ext uri="{FF2B5EF4-FFF2-40B4-BE49-F238E27FC236}">
              <a16:creationId xmlns:a16="http://schemas.microsoft.com/office/drawing/2014/main" id="{00000000-0008-0000-3900-00000B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rot="3038904">
          <a:off x="21093111" y="4672011"/>
          <a:ext cx="6162675" cy="209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7.xml><?xml version="1.0" encoding="utf-8"?>
<xdr:wsDr xmlns:xdr="http://schemas.openxmlformats.org/drawingml/2006/spreadsheetDrawing" xmlns:a="http://schemas.openxmlformats.org/drawingml/2006/main">
  <xdr:twoCellAnchor>
    <xdr:from>
      <xdr:col>4</xdr:col>
      <xdr:colOff>0</xdr:colOff>
      <xdr:row>2</xdr:row>
      <xdr:rowOff>47625</xdr:rowOff>
    </xdr:from>
    <xdr:to>
      <xdr:col>4</xdr:col>
      <xdr:colOff>581025</xdr:colOff>
      <xdr:row>3</xdr:row>
      <xdr:rowOff>0</xdr:rowOff>
    </xdr:to>
    <xdr:grpSp>
      <xdr:nvGrpSpPr>
        <xdr:cNvPr id="2" name="Group 1">
          <a:extLst>
            <a:ext uri="{FF2B5EF4-FFF2-40B4-BE49-F238E27FC236}">
              <a16:creationId xmlns:a16="http://schemas.microsoft.com/office/drawing/2014/main" id="{00000000-0008-0000-3A00-000002000000}"/>
            </a:ext>
          </a:extLst>
        </xdr:cNvPr>
        <xdr:cNvGrpSpPr>
          <a:grpSpLocks/>
        </xdr:cNvGrpSpPr>
      </xdr:nvGrpSpPr>
      <xdr:grpSpPr bwMode="auto">
        <a:xfrm>
          <a:off x="5264150" y="424089"/>
          <a:ext cx="582839" cy="147411"/>
          <a:chOff x="6354" y="68"/>
          <a:chExt cx="2335" cy="223"/>
        </a:xfrm>
      </xdr:grpSpPr>
      <xdr:sp macro="" textlink="">
        <xdr:nvSpPr>
          <xdr:cNvPr id="3" name="Freeform 2">
            <a:extLst>
              <a:ext uri="{FF2B5EF4-FFF2-40B4-BE49-F238E27FC236}">
                <a16:creationId xmlns:a16="http://schemas.microsoft.com/office/drawing/2014/main" id="{00000000-0008-0000-3A00-000003000000}"/>
              </a:ext>
            </a:extLst>
          </xdr:cNvPr>
          <xdr:cNvSpPr>
            <a:spLocks/>
          </xdr:cNvSpPr>
        </xdr:nvSpPr>
        <xdr:spPr bwMode="auto">
          <a:xfrm>
            <a:off x="6354" y="68"/>
            <a:ext cx="2335" cy="223"/>
          </a:xfrm>
          <a:custGeom>
            <a:avLst/>
            <a:gdLst>
              <a:gd name="T0" fmla="+- 0 8649 6354"/>
              <a:gd name="T1" fmla="*/ T0 w 2335"/>
              <a:gd name="T2" fmla="+- 0 68 68"/>
              <a:gd name="T3" fmla="*/ 68 h 223"/>
              <a:gd name="T4" fmla="+- 0 6389 6354"/>
              <a:gd name="T5" fmla="*/ T4 w 2335"/>
              <a:gd name="T6" fmla="+- 0 72 68"/>
              <a:gd name="T7" fmla="*/ 72 h 223"/>
              <a:gd name="T8" fmla="+- 0 6358 6354"/>
              <a:gd name="T9" fmla="*/ T8 w 2335"/>
              <a:gd name="T10" fmla="+- 0 141 68"/>
              <a:gd name="T11" fmla="*/ 141 h 223"/>
              <a:gd name="T12" fmla="+- 0 6354 6354"/>
              <a:gd name="T13" fmla="*/ T12 w 2335"/>
              <a:gd name="T14" fmla="+- 0 182 68"/>
              <a:gd name="T15" fmla="*/ 182 h 223"/>
              <a:gd name="T16" fmla="+- 0 6355 6354"/>
              <a:gd name="T17" fmla="*/ T16 w 2335"/>
              <a:gd name="T18" fmla="+- 0 203 68"/>
              <a:gd name="T19" fmla="*/ 203 h 223"/>
              <a:gd name="T20" fmla="+- 0 6382 6354"/>
              <a:gd name="T21" fmla="*/ T20 w 2335"/>
              <a:gd name="T22" fmla="+- 0 277 68"/>
              <a:gd name="T23" fmla="*/ 277 h 223"/>
              <a:gd name="T24" fmla="+- 0 6393 6354"/>
              <a:gd name="T25" fmla="*/ T24 w 2335"/>
              <a:gd name="T26" fmla="+- 0 291 68"/>
              <a:gd name="T27" fmla="*/ 291 h 223"/>
              <a:gd name="T28" fmla="+- 0 8653 6354"/>
              <a:gd name="T29" fmla="*/ T28 w 2335"/>
              <a:gd name="T30" fmla="+- 0 286 68"/>
              <a:gd name="T31" fmla="*/ 286 h 223"/>
              <a:gd name="T32" fmla="+- 0 8685 6354"/>
              <a:gd name="T33" fmla="*/ T32 w 2335"/>
              <a:gd name="T34" fmla="+- 0 217 68"/>
              <a:gd name="T35" fmla="*/ 217 h 223"/>
              <a:gd name="T36" fmla="+- 0 8688 6354"/>
              <a:gd name="T37" fmla="*/ T36 w 2335"/>
              <a:gd name="T38" fmla="+- 0 176 68"/>
              <a:gd name="T39" fmla="*/ 176 h 223"/>
              <a:gd name="T40" fmla="+- 0 8687 6354"/>
              <a:gd name="T41" fmla="*/ T40 w 2335"/>
              <a:gd name="T42" fmla="+- 0 155 68"/>
              <a:gd name="T43" fmla="*/ 155 h 223"/>
              <a:gd name="T44" fmla="+- 0 8661 6354"/>
              <a:gd name="T45" fmla="*/ T44 w 2335"/>
              <a:gd name="T46" fmla="+- 0 82 68"/>
              <a:gd name="T47" fmla="*/ 82 h 223"/>
              <a:gd name="T48" fmla="+- 0 8649 6354"/>
              <a:gd name="T49" fmla="*/ T48 w 2335"/>
              <a:gd name="T50" fmla="+- 0 68 68"/>
              <a:gd name="T51" fmla="*/ 68 h 223"/>
            </a:gdLst>
            <a:ahLst/>
            <a:cxnLst>
              <a:cxn ang="0">
                <a:pos x="T1" y="T3"/>
              </a:cxn>
              <a:cxn ang="0">
                <a:pos x="T5" y="T7"/>
              </a:cxn>
              <a:cxn ang="0">
                <a:pos x="T9" y="T11"/>
              </a:cxn>
              <a:cxn ang="0">
                <a:pos x="T13" y="T15"/>
              </a:cxn>
              <a:cxn ang="0">
                <a:pos x="T17" y="T19"/>
              </a:cxn>
              <a:cxn ang="0">
                <a:pos x="T21" y="T23"/>
              </a:cxn>
              <a:cxn ang="0">
                <a:pos x="T25" y="T27"/>
              </a:cxn>
              <a:cxn ang="0">
                <a:pos x="T29" y="T31"/>
              </a:cxn>
              <a:cxn ang="0">
                <a:pos x="T33" y="T35"/>
              </a:cxn>
              <a:cxn ang="0">
                <a:pos x="T37" y="T39"/>
              </a:cxn>
              <a:cxn ang="0">
                <a:pos x="T41" y="T43"/>
              </a:cxn>
              <a:cxn ang="0">
                <a:pos x="T45" y="T47"/>
              </a:cxn>
              <a:cxn ang="0">
                <a:pos x="T49" y="T51"/>
              </a:cxn>
            </a:cxnLst>
            <a:rect l="0" t="0" r="r" b="b"/>
            <a:pathLst>
              <a:path w="2335" h="223">
                <a:moveTo>
                  <a:pt x="2295" y="0"/>
                </a:moveTo>
                <a:lnTo>
                  <a:pt x="35" y="4"/>
                </a:lnTo>
                <a:lnTo>
                  <a:pt x="4" y="73"/>
                </a:lnTo>
                <a:lnTo>
                  <a:pt x="0" y="114"/>
                </a:lnTo>
                <a:lnTo>
                  <a:pt x="1" y="135"/>
                </a:lnTo>
                <a:lnTo>
                  <a:pt x="28" y="209"/>
                </a:lnTo>
                <a:lnTo>
                  <a:pt x="39" y="223"/>
                </a:lnTo>
                <a:lnTo>
                  <a:pt x="2299" y="218"/>
                </a:lnTo>
                <a:lnTo>
                  <a:pt x="2331" y="149"/>
                </a:lnTo>
                <a:lnTo>
                  <a:pt x="2334" y="108"/>
                </a:lnTo>
                <a:lnTo>
                  <a:pt x="2333" y="87"/>
                </a:lnTo>
                <a:lnTo>
                  <a:pt x="2307" y="14"/>
                </a:lnTo>
                <a:lnTo>
                  <a:pt x="2295" y="0"/>
                </a:lnTo>
                <a:close/>
              </a:path>
            </a:pathLst>
          </a:custGeom>
          <a:solidFill>
            <a:srgbClr val="FFFF00"/>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xdr:from>
      <xdr:col>4</xdr:col>
      <xdr:colOff>0</xdr:colOff>
      <xdr:row>2</xdr:row>
      <xdr:rowOff>47625</xdr:rowOff>
    </xdr:from>
    <xdr:to>
      <xdr:col>5</xdr:col>
      <xdr:colOff>0</xdr:colOff>
      <xdr:row>3</xdr:row>
      <xdr:rowOff>0</xdr:rowOff>
    </xdr:to>
    <xdr:grpSp>
      <xdr:nvGrpSpPr>
        <xdr:cNvPr id="4" name="Group 3">
          <a:extLst>
            <a:ext uri="{FF2B5EF4-FFF2-40B4-BE49-F238E27FC236}">
              <a16:creationId xmlns:a16="http://schemas.microsoft.com/office/drawing/2014/main" id="{00000000-0008-0000-3A00-000004000000}"/>
            </a:ext>
          </a:extLst>
        </xdr:cNvPr>
        <xdr:cNvGrpSpPr>
          <a:grpSpLocks/>
        </xdr:cNvGrpSpPr>
      </xdr:nvGrpSpPr>
      <xdr:grpSpPr bwMode="auto">
        <a:xfrm>
          <a:off x="5264150" y="424089"/>
          <a:ext cx="2876550" cy="147411"/>
          <a:chOff x="6623" y="68"/>
          <a:chExt cx="2234" cy="223"/>
        </a:xfrm>
      </xdr:grpSpPr>
      <xdr:sp macro="" textlink="">
        <xdr:nvSpPr>
          <xdr:cNvPr id="5" name="Freeform 4">
            <a:extLst>
              <a:ext uri="{FF2B5EF4-FFF2-40B4-BE49-F238E27FC236}">
                <a16:creationId xmlns:a16="http://schemas.microsoft.com/office/drawing/2014/main" id="{00000000-0008-0000-3A00-000005000000}"/>
              </a:ext>
            </a:extLst>
          </xdr:cNvPr>
          <xdr:cNvSpPr>
            <a:spLocks/>
          </xdr:cNvSpPr>
        </xdr:nvSpPr>
        <xdr:spPr bwMode="auto">
          <a:xfrm>
            <a:off x="6623" y="68"/>
            <a:ext cx="2234" cy="223"/>
          </a:xfrm>
          <a:custGeom>
            <a:avLst/>
            <a:gdLst>
              <a:gd name="T0" fmla="+- 0 8817 6623"/>
              <a:gd name="T1" fmla="*/ T0 w 2234"/>
              <a:gd name="T2" fmla="+- 0 68 68"/>
              <a:gd name="T3" fmla="*/ 68 h 223"/>
              <a:gd name="T4" fmla="+- 0 6658 6623"/>
              <a:gd name="T5" fmla="*/ T4 w 2234"/>
              <a:gd name="T6" fmla="+- 0 72 68"/>
              <a:gd name="T7" fmla="*/ 72 h 223"/>
              <a:gd name="T8" fmla="+- 0 6626 6623"/>
              <a:gd name="T9" fmla="*/ T8 w 2234"/>
              <a:gd name="T10" fmla="+- 0 141 68"/>
              <a:gd name="T11" fmla="*/ 141 h 223"/>
              <a:gd name="T12" fmla="+- 0 6623 6623"/>
              <a:gd name="T13" fmla="*/ T12 w 2234"/>
              <a:gd name="T14" fmla="+- 0 182 68"/>
              <a:gd name="T15" fmla="*/ 182 h 223"/>
              <a:gd name="T16" fmla="+- 0 6624 6623"/>
              <a:gd name="T17" fmla="*/ T16 w 2234"/>
              <a:gd name="T18" fmla="+- 0 203 68"/>
              <a:gd name="T19" fmla="*/ 203 h 223"/>
              <a:gd name="T20" fmla="+- 0 6651 6623"/>
              <a:gd name="T21" fmla="*/ T20 w 2234"/>
              <a:gd name="T22" fmla="+- 0 277 68"/>
              <a:gd name="T23" fmla="*/ 277 h 223"/>
              <a:gd name="T24" fmla="+- 0 6662 6623"/>
              <a:gd name="T25" fmla="*/ T24 w 2234"/>
              <a:gd name="T26" fmla="+- 0 291 68"/>
              <a:gd name="T27" fmla="*/ 291 h 223"/>
              <a:gd name="T28" fmla="+- 0 8821 6623"/>
              <a:gd name="T29" fmla="*/ T28 w 2234"/>
              <a:gd name="T30" fmla="+- 0 286 68"/>
              <a:gd name="T31" fmla="*/ 286 h 223"/>
              <a:gd name="T32" fmla="+- 0 8853 6623"/>
              <a:gd name="T33" fmla="*/ T32 w 2234"/>
              <a:gd name="T34" fmla="+- 0 217 68"/>
              <a:gd name="T35" fmla="*/ 217 h 223"/>
              <a:gd name="T36" fmla="+- 0 8856 6623"/>
              <a:gd name="T37" fmla="*/ T36 w 2234"/>
              <a:gd name="T38" fmla="+- 0 176 68"/>
              <a:gd name="T39" fmla="*/ 176 h 223"/>
              <a:gd name="T40" fmla="+- 0 8855 6623"/>
              <a:gd name="T41" fmla="*/ T40 w 2234"/>
              <a:gd name="T42" fmla="+- 0 155 68"/>
              <a:gd name="T43" fmla="*/ 155 h 223"/>
              <a:gd name="T44" fmla="+- 0 8829 6623"/>
              <a:gd name="T45" fmla="*/ T44 w 2234"/>
              <a:gd name="T46" fmla="+- 0 82 68"/>
              <a:gd name="T47" fmla="*/ 82 h 223"/>
              <a:gd name="T48" fmla="+- 0 8817 6623"/>
              <a:gd name="T49" fmla="*/ T48 w 2234"/>
              <a:gd name="T50" fmla="+- 0 68 68"/>
              <a:gd name="T51" fmla="*/ 68 h 223"/>
            </a:gdLst>
            <a:ahLst/>
            <a:cxnLst>
              <a:cxn ang="0">
                <a:pos x="T1" y="T3"/>
              </a:cxn>
              <a:cxn ang="0">
                <a:pos x="T5" y="T7"/>
              </a:cxn>
              <a:cxn ang="0">
                <a:pos x="T9" y="T11"/>
              </a:cxn>
              <a:cxn ang="0">
                <a:pos x="T13" y="T15"/>
              </a:cxn>
              <a:cxn ang="0">
                <a:pos x="T17" y="T19"/>
              </a:cxn>
              <a:cxn ang="0">
                <a:pos x="T21" y="T23"/>
              </a:cxn>
              <a:cxn ang="0">
                <a:pos x="T25" y="T27"/>
              </a:cxn>
              <a:cxn ang="0">
                <a:pos x="T29" y="T31"/>
              </a:cxn>
              <a:cxn ang="0">
                <a:pos x="T33" y="T35"/>
              </a:cxn>
              <a:cxn ang="0">
                <a:pos x="T37" y="T39"/>
              </a:cxn>
              <a:cxn ang="0">
                <a:pos x="T41" y="T43"/>
              </a:cxn>
              <a:cxn ang="0">
                <a:pos x="T45" y="T47"/>
              </a:cxn>
              <a:cxn ang="0">
                <a:pos x="T49" y="T51"/>
              </a:cxn>
            </a:cxnLst>
            <a:rect l="0" t="0" r="r" b="b"/>
            <a:pathLst>
              <a:path w="2234" h="223">
                <a:moveTo>
                  <a:pt x="2194" y="0"/>
                </a:moveTo>
                <a:lnTo>
                  <a:pt x="35" y="4"/>
                </a:lnTo>
                <a:lnTo>
                  <a:pt x="3" y="73"/>
                </a:lnTo>
                <a:lnTo>
                  <a:pt x="0" y="114"/>
                </a:lnTo>
                <a:lnTo>
                  <a:pt x="1" y="135"/>
                </a:lnTo>
                <a:lnTo>
                  <a:pt x="28" y="209"/>
                </a:lnTo>
                <a:lnTo>
                  <a:pt x="39" y="223"/>
                </a:lnTo>
                <a:lnTo>
                  <a:pt x="2198" y="218"/>
                </a:lnTo>
                <a:lnTo>
                  <a:pt x="2230" y="149"/>
                </a:lnTo>
                <a:lnTo>
                  <a:pt x="2233" y="108"/>
                </a:lnTo>
                <a:lnTo>
                  <a:pt x="2232" y="87"/>
                </a:lnTo>
                <a:lnTo>
                  <a:pt x="2206" y="14"/>
                </a:lnTo>
                <a:lnTo>
                  <a:pt x="2194" y="0"/>
                </a:lnTo>
                <a:close/>
              </a:path>
            </a:pathLst>
          </a:custGeom>
          <a:solidFill>
            <a:srgbClr val="FFFF00"/>
          </a:solidFill>
          <a:ln>
            <a:noFill/>
          </a:ln>
          <a:extLst>
            <a:ext uri="{91240B29-F687-4F45-9708-019B960494DF}">
              <a14:hiddenLine xmlns:a14="http://schemas.microsoft.com/office/drawing/2010/main" w="9525">
                <a:solidFill>
                  <a:srgbClr val="000000"/>
                </a:solidFill>
                <a:round/>
                <a:headEnd/>
                <a:tailEnd/>
              </a14:hiddenLine>
            </a:ext>
          </a:extLst>
        </xdr:spPr>
      </xdr:sp>
    </xdr:grpSp>
    <xdr:clientData/>
  </xdr:twoCellAnchor>
  <xdr:twoCellAnchor editAs="oneCell">
    <xdr:from>
      <xdr:col>75</xdr:col>
      <xdr:colOff>0</xdr:colOff>
      <xdr:row>19</xdr:row>
      <xdr:rowOff>0</xdr:rowOff>
    </xdr:from>
    <xdr:to>
      <xdr:col>77</xdr:col>
      <xdr:colOff>7266325</xdr:colOff>
      <xdr:row>29</xdr:row>
      <xdr:rowOff>542382</xdr:rowOff>
    </xdr:to>
    <xdr:pic>
      <xdr:nvPicPr>
        <xdr:cNvPr id="6" name="Picture 5">
          <a:extLst>
            <a:ext uri="{FF2B5EF4-FFF2-40B4-BE49-F238E27FC236}">
              <a16:creationId xmlns:a16="http://schemas.microsoft.com/office/drawing/2014/main" id="{00000000-0008-0000-3A00-000006000000}"/>
            </a:ext>
          </a:extLst>
        </xdr:cNvPr>
        <xdr:cNvPicPr>
          <a:picLocks noChangeAspect="1"/>
        </xdr:cNvPicPr>
      </xdr:nvPicPr>
      <xdr:blipFill>
        <a:blip xmlns:r="http://schemas.openxmlformats.org/officeDocument/2006/relationships" r:embed="rId1"/>
        <a:stretch>
          <a:fillRect/>
        </a:stretch>
      </xdr:blipFill>
      <xdr:spPr>
        <a:xfrm>
          <a:off x="118052850" y="9582150"/>
          <a:ext cx="10000000" cy="4342857"/>
        </a:xfrm>
        <a:prstGeom prst="rect">
          <a:avLst/>
        </a:prstGeom>
      </xdr:spPr>
    </xdr:pic>
    <xdr:clientData/>
  </xdr:twoCellAnchor>
  <xdr:twoCellAnchor editAs="oneCell">
    <xdr:from>
      <xdr:col>81</xdr:col>
      <xdr:colOff>0</xdr:colOff>
      <xdr:row>17</xdr:row>
      <xdr:rowOff>0</xdr:rowOff>
    </xdr:from>
    <xdr:to>
      <xdr:col>88</xdr:col>
      <xdr:colOff>198775</xdr:colOff>
      <xdr:row>28</xdr:row>
      <xdr:rowOff>256629</xdr:rowOff>
    </xdr:to>
    <xdr:pic>
      <xdr:nvPicPr>
        <xdr:cNvPr id="7" name="Picture 6">
          <a:extLst>
            <a:ext uri="{FF2B5EF4-FFF2-40B4-BE49-F238E27FC236}">
              <a16:creationId xmlns:a16="http://schemas.microsoft.com/office/drawing/2014/main" id="{00000000-0008-0000-3A00-000007000000}"/>
            </a:ext>
          </a:extLst>
        </xdr:cNvPr>
        <xdr:cNvPicPr>
          <a:picLocks noChangeAspect="1"/>
        </xdr:cNvPicPr>
      </xdr:nvPicPr>
      <xdr:blipFill>
        <a:blip xmlns:r="http://schemas.openxmlformats.org/officeDocument/2006/relationships" r:embed="rId2"/>
        <a:stretch>
          <a:fillRect/>
        </a:stretch>
      </xdr:blipFill>
      <xdr:spPr>
        <a:xfrm>
          <a:off x="131273550" y="8610600"/>
          <a:ext cx="10000000" cy="437142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4</xdr:col>
      <xdr:colOff>3533775</xdr:colOff>
      <xdr:row>12</xdr:row>
      <xdr:rowOff>19050</xdr:rowOff>
    </xdr:from>
    <xdr:to>
      <xdr:col>8</xdr:col>
      <xdr:colOff>2171700</xdr:colOff>
      <xdr:row>21</xdr:row>
      <xdr:rowOff>66675</xdr:rowOff>
    </xdr:to>
    <xdr:pic>
      <xdr:nvPicPr>
        <xdr:cNvPr id="5" name="Picture 4">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953250" y="2343150"/>
          <a:ext cx="8181975" cy="1762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9525</xdr:colOff>
      <xdr:row>13</xdr:row>
      <xdr:rowOff>19050</xdr:rowOff>
    </xdr:from>
    <xdr:to>
      <xdr:col>6</xdr:col>
      <xdr:colOff>238125</xdr:colOff>
      <xdr:row>25</xdr:row>
      <xdr:rowOff>37473</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5876925" y="2867025"/>
          <a:ext cx="10010775" cy="230442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830035</xdr:colOff>
      <xdr:row>19</xdr:row>
      <xdr:rowOff>54429</xdr:rowOff>
    </xdr:from>
    <xdr:to>
      <xdr:col>5</xdr:col>
      <xdr:colOff>3614390</xdr:colOff>
      <xdr:row>21</xdr:row>
      <xdr:rowOff>44858</xdr:rowOff>
    </xdr:to>
    <xdr:pic>
      <xdr:nvPicPr>
        <xdr:cNvPr id="4" name="Picture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1"/>
        <a:stretch>
          <a:fillRect/>
        </a:stretch>
      </xdr:blipFill>
      <xdr:spPr>
        <a:xfrm>
          <a:off x="3279321" y="3810000"/>
          <a:ext cx="8219048" cy="371429"/>
        </a:xfrm>
        <a:prstGeom prst="rect">
          <a:avLst/>
        </a:prstGeom>
      </xdr:spPr>
    </xdr:pic>
    <xdr:clientData/>
  </xdr:twoCellAnchor>
  <xdr:twoCellAnchor editAs="oneCell">
    <xdr:from>
      <xdr:col>5</xdr:col>
      <xdr:colOff>4177393</xdr:colOff>
      <xdr:row>24</xdr:row>
      <xdr:rowOff>13607</xdr:rowOff>
    </xdr:from>
    <xdr:to>
      <xdr:col>9</xdr:col>
      <xdr:colOff>8389</xdr:colOff>
      <xdr:row>27</xdr:row>
      <xdr:rowOff>23059</xdr:rowOff>
    </xdr:to>
    <xdr:pic>
      <xdr:nvPicPr>
        <xdr:cNvPr id="5" name="Picture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2"/>
        <a:stretch>
          <a:fillRect/>
        </a:stretch>
      </xdr:blipFill>
      <xdr:spPr>
        <a:xfrm>
          <a:off x="11919857" y="4721678"/>
          <a:ext cx="9085714" cy="580952"/>
        </a:xfrm>
        <a:prstGeom prst="rect">
          <a:avLst/>
        </a:prstGeom>
      </xdr:spPr>
    </xdr:pic>
    <xdr:clientData/>
  </xdr:twoCellAnchor>
  <xdr:twoCellAnchor editAs="oneCell">
    <xdr:from>
      <xdr:col>7</xdr:col>
      <xdr:colOff>2000251</xdr:colOff>
      <xdr:row>19</xdr:row>
      <xdr:rowOff>27215</xdr:rowOff>
    </xdr:from>
    <xdr:to>
      <xdr:col>11</xdr:col>
      <xdr:colOff>244930</xdr:colOff>
      <xdr:row>20</xdr:row>
      <xdr:rowOff>171451</xdr:rowOff>
    </xdr:to>
    <xdr:pic>
      <xdr:nvPicPr>
        <xdr:cNvPr id="10" name="Picture 9">
          <a:extLst>
            <a:ext uri="{FF2B5EF4-FFF2-40B4-BE49-F238E27FC236}">
              <a16:creationId xmlns:a16="http://schemas.microsoft.com/office/drawing/2014/main" id="{00000000-0008-0000-0700-00000A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641787" y="3782786"/>
          <a:ext cx="6293304" cy="3347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2041071</xdr:colOff>
      <xdr:row>24</xdr:row>
      <xdr:rowOff>27215</xdr:rowOff>
    </xdr:from>
    <xdr:to>
      <xdr:col>13</xdr:col>
      <xdr:colOff>1148442</xdr:colOff>
      <xdr:row>25</xdr:row>
      <xdr:rowOff>180976</xdr:rowOff>
    </xdr:to>
    <xdr:pic>
      <xdr:nvPicPr>
        <xdr:cNvPr id="11" name="Picture 10">
          <a:extLst>
            <a:ext uri="{FF2B5EF4-FFF2-40B4-BE49-F238E27FC236}">
              <a16:creationId xmlns:a16="http://schemas.microsoft.com/office/drawing/2014/main" id="{00000000-0008-0000-0700-00000B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3036892" y="4735286"/>
          <a:ext cx="5693229" cy="344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1251858</xdr:colOff>
      <xdr:row>19</xdr:row>
      <xdr:rowOff>13607</xdr:rowOff>
    </xdr:from>
    <xdr:to>
      <xdr:col>15</xdr:col>
      <xdr:colOff>787855</xdr:colOff>
      <xdr:row>20</xdr:row>
      <xdr:rowOff>176893</xdr:rowOff>
    </xdr:to>
    <xdr:pic>
      <xdr:nvPicPr>
        <xdr:cNvPr id="12" name="Picture 11">
          <a:extLst>
            <a:ext uri="{FF2B5EF4-FFF2-40B4-BE49-F238E27FC236}">
              <a16:creationId xmlns:a16="http://schemas.microsoft.com/office/drawing/2014/main" id="{00000000-0008-0000-0700-00000C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26343429" y="3769178"/>
          <a:ext cx="6131379" cy="3537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979715</xdr:colOff>
      <xdr:row>24</xdr:row>
      <xdr:rowOff>54429</xdr:rowOff>
    </xdr:from>
    <xdr:to>
      <xdr:col>17</xdr:col>
      <xdr:colOff>2551340</xdr:colOff>
      <xdr:row>28</xdr:row>
      <xdr:rowOff>57150</xdr:rowOff>
    </xdr:to>
    <xdr:pic>
      <xdr:nvPicPr>
        <xdr:cNvPr id="14" name="Picture 13">
          <a:extLst>
            <a:ext uri="{FF2B5EF4-FFF2-40B4-BE49-F238E27FC236}">
              <a16:creationId xmlns:a16="http://schemas.microsoft.com/office/drawing/2014/main" id="{00000000-0008-0000-0700-00000E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5677929" y="4776108"/>
          <a:ext cx="7179129" cy="7647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3701143</xdr:colOff>
      <xdr:row>18</xdr:row>
      <xdr:rowOff>40822</xdr:rowOff>
    </xdr:from>
    <xdr:to>
      <xdr:col>20</xdr:col>
      <xdr:colOff>1133475</xdr:colOff>
      <xdr:row>20</xdr:row>
      <xdr:rowOff>176893</xdr:rowOff>
    </xdr:to>
    <xdr:pic>
      <xdr:nvPicPr>
        <xdr:cNvPr id="15" name="Picture 14">
          <a:extLst>
            <a:ext uri="{FF2B5EF4-FFF2-40B4-BE49-F238E27FC236}">
              <a16:creationId xmlns:a16="http://schemas.microsoft.com/office/drawing/2014/main" id="{00000000-0008-0000-0700-00000F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40576500" y="3619501"/>
          <a:ext cx="8523514" cy="5170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1551214</xdr:colOff>
      <xdr:row>24</xdr:row>
      <xdr:rowOff>27216</xdr:rowOff>
    </xdr:from>
    <xdr:to>
      <xdr:col>22</xdr:col>
      <xdr:colOff>5061856</xdr:colOff>
      <xdr:row>28</xdr:row>
      <xdr:rowOff>10887</xdr:rowOff>
    </xdr:to>
    <xdr:pic>
      <xdr:nvPicPr>
        <xdr:cNvPr id="17" name="Picture 16">
          <a:extLst>
            <a:ext uri="{FF2B5EF4-FFF2-40B4-BE49-F238E27FC236}">
              <a16:creationId xmlns:a16="http://schemas.microsoft.com/office/drawing/2014/main" id="{00000000-0008-0000-0700-000011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3285571" y="4748895"/>
          <a:ext cx="8313964" cy="7456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25</xdr:col>
      <xdr:colOff>122465</xdr:colOff>
      <xdr:row>19</xdr:row>
      <xdr:rowOff>27215</xdr:rowOff>
    </xdr:from>
    <xdr:to>
      <xdr:col>26</xdr:col>
      <xdr:colOff>4118884</xdr:colOff>
      <xdr:row>21</xdr:row>
      <xdr:rowOff>182336</xdr:rowOff>
    </xdr:to>
    <xdr:pic>
      <xdr:nvPicPr>
        <xdr:cNvPr id="18" name="Picture 17">
          <a:extLst>
            <a:ext uri="{FF2B5EF4-FFF2-40B4-BE49-F238E27FC236}">
              <a16:creationId xmlns:a16="http://schemas.microsoft.com/office/drawing/2014/main" id="{00000000-0008-0000-0700-000012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5246251" y="3782786"/>
          <a:ext cx="7255329" cy="5361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28</xdr:col>
      <xdr:colOff>0</xdr:colOff>
      <xdr:row>24</xdr:row>
      <xdr:rowOff>13606</xdr:rowOff>
    </xdr:from>
    <xdr:to>
      <xdr:col>32</xdr:col>
      <xdr:colOff>34017</xdr:colOff>
      <xdr:row>28</xdr:row>
      <xdr:rowOff>6802</xdr:rowOff>
    </xdr:to>
    <xdr:pic>
      <xdr:nvPicPr>
        <xdr:cNvPr id="20" name="Picture 19">
          <a:extLst>
            <a:ext uri="{FF2B5EF4-FFF2-40B4-BE49-F238E27FC236}">
              <a16:creationId xmlns:a16="http://schemas.microsoft.com/office/drawing/2014/main" id="{00000000-0008-0000-0700-000014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3738357" y="4735285"/>
          <a:ext cx="8218714" cy="755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30</xdr:col>
      <xdr:colOff>544286</xdr:colOff>
      <xdr:row>19</xdr:row>
      <xdr:rowOff>27214</xdr:rowOff>
    </xdr:from>
    <xdr:to>
      <xdr:col>34</xdr:col>
      <xdr:colOff>77561</xdr:colOff>
      <xdr:row>23</xdr:row>
      <xdr:rowOff>29935</xdr:rowOff>
    </xdr:to>
    <xdr:pic>
      <xdr:nvPicPr>
        <xdr:cNvPr id="22" name="Picture 21">
          <a:extLst>
            <a:ext uri="{FF2B5EF4-FFF2-40B4-BE49-F238E27FC236}">
              <a16:creationId xmlns:a16="http://schemas.microsoft.com/office/drawing/2014/main" id="{00000000-0008-0000-0700-000016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9575822" y="3796393"/>
          <a:ext cx="7847239" cy="7647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35</xdr:col>
      <xdr:colOff>13607</xdr:colOff>
      <xdr:row>24</xdr:row>
      <xdr:rowOff>40822</xdr:rowOff>
    </xdr:from>
    <xdr:to>
      <xdr:col>35</xdr:col>
      <xdr:colOff>7655379</xdr:colOff>
      <xdr:row>28</xdr:row>
      <xdr:rowOff>34018</xdr:rowOff>
    </xdr:to>
    <xdr:pic>
      <xdr:nvPicPr>
        <xdr:cNvPr id="23" name="Picture 22">
          <a:extLst>
            <a:ext uri="{FF2B5EF4-FFF2-40B4-BE49-F238E27FC236}">
              <a16:creationId xmlns:a16="http://schemas.microsoft.com/office/drawing/2014/main" id="{00000000-0008-0000-0700-000017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99100821" y="4762501"/>
          <a:ext cx="7655379" cy="7551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38</xdr:col>
      <xdr:colOff>40821</xdr:colOff>
      <xdr:row>19</xdr:row>
      <xdr:rowOff>40822</xdr:rowOff>
    </xdr:from>
    <xdr:to>
      <xdr:col>41</xdr:col>
      <xdr:colOff>164646</xdr:colOff>
      <xdr:row>22</xdr:row>
      <xdr:rowOff>43543</xdr:rowOff>
    </xdr:to>
    <xdr:pic>
      <xdr:nvPicPr>
        <xdr:cNvPr id="25" name="Picture 24">
          <a:extLst>
            <a:ext uri="{FF2B5EF4-FFF2-40B4-BE49-F238E27FC236}">
              <a16:creationId xmlns:a16="http://schemas.microsoft.com/office/drawing/2014/main" id="{00000000-0008-0000-0700-000019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12082035" y="3810001"/>
          <a:ext cx="6807654" cy="5742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6300107</xdr:colOff>
      <xdr:row>38</xdr:row>
      <xdr:rowOff>54429</xdr:rowOff>
    </xdr:from>
    <xdr:to>
      <xdr:col>10</xdr:col>
      <xdr:colOff>952268</xdr:colOff>
      <xdr:row>61</xdr:row>
      <xdr:rowOff>17310</xdr:rowOff>
    </xdr:to>
    <xdr:pic>
      <xdr:nvPicPr>
        <xdr:cNvPr id="6" name="Picture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4"/>
        <a:stretch>
          <a:fillRect/>
        </a:stretch>
      </xdr:blipFill>
      <xdr:spPr>
        <a:xfrm>
          <a:off x="14709321" y="7443108"/>
          <a:ext cx="9953393" cy="4344381"/>
        </a:xfrm>
        <a:prstGeom prst="rect">
          <a:avLst/>
        </a:prstGeom>
      </xdr:spPr>
    </xdr:pic>
    <xdr:clientData/>
  </xdr:twoCellAnchor>
  <xdr:twoCellAnchor editAs="oneCell">
    <xdr:from>
      <xdr:col>10</xdr:col>
      <xdr:colOff>285750</xdr:colOff>
      <xdr:row>38</xdr:row>
      <xdr:rowOff>27215</xdr:rowOff>
    </xdr:from>
    <xdr:to>
      <xdr:col>15</xdr:col>
      <xdr:colOff>1718102</xdr:colOff>
      <xdr:row>81</xdr:row>
      <xdr:rowOff>68036</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15"/>
        <a:stretch>
          <a:fillRect/>
        </a:stretch>
      </xdr:blipFill>
      <xdr:spPr>
        <a:xfrm>
          <a:off x="25458964" y="7415894"/>
          <a:ext cx="9404777" cy="823232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18</xdr:col>
      <xdr:colOff>0</xdr:colOff>
      <xdr:row>18</xdr:row>
      <xdr:rowOff>173492</xdr:rowOff>
    </xdr:from>
    <xdr:to>
      <xdr:col>20</xdr:col>
      <xdr:colOff>3023886</xdr:colOff>
      <xdr:row>21</xdr:row>
      <xdr:rowOff>176893</xdr:rowOff>
    </xdr:to>
    <xdr:pic>
      <xdr:nvPicPr>
        <xdr:cNvPr id="11" name="Picture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1"/>
        <a:stretch>
          <a:fillRect/>
        </a:stretch>
      </xdr:blipFill>
      <xdr:spPr>
        <a:xfrm>
          <a:off x="53938714" y="3806599"/>
          <a:ext cx="8058529" cy="574901"/>
        </a:xfrm>
        <a:prstGeom prst="rect">
          <a:avLst/>
        </a:prstGeom>
      </xdr:spPr>
    </xdr:pic>
    <xdr:clientData/>
  </xdr:twoCellAnchor>
  <xdr:twoCellAnchor editAs="oneCell">
    <xdr:from>
      <xdr:col>0</xdr:col>
      <xdr:colOff>122463</xdr:colOff>
      <xdr:row>19</xdr:row>
      <xdr:rowOff>13607</xdr:rowOff>
    </xdr:from>
    <xdr:to>
      <xdr:col>5</xdr:col>
      <xdr:colOff>27213</xdr:colOff>
      <xdr:row>20</xdr:row>
      <xdr:rowOff>163381</xdr:rowOff>
    </xdr:to>
    <xdr:pic>
      <xdr:nvPicPr>
        <xdr:cNvPr id="15" name="Picture 14">
          <a:extLst>
            <a:ext uri="{FF2B5EF4-FFF2-40B4-BE49-F238E27FC236}">
              <a16:creationId xmlns:a16="http://schemas.microsoft.com/office/drawing/2014/main" id="{00000000-0008-0000-0800-00000F000000}"/>
            </a:ext>
          </a:extLst>
        </xdr:cNvPr>
        <xdr:cNvPicPr>
          <a:picLocks noChangeAspect="1"/>
        </xdr:cNvPicPr>
      </xdr:nvPicPr>
      <xdr:blipFill>
        <a:blip xmlns:r="http://schemas.openxmlformats.org/officeDocument/2006/relationships" r:embed="rId2"/>
        <a:stretch>
          <a:fillRect/>
        </a:stretch>
      </xdr:blipFill>
      <xdr:spPr>
        <a:xfrm>
          <a:off x="122463" y="4014107"/>
          <a:ext cx="7647214" cy="340274"/>
        </a:xfrm>
        <a:prstGeom prst="rect">
          <a:avLst/>
        </a:prstGeom>
      </xdr:spPr>
    </xdr:pic>
    <xdr:clientData/>
  </xdr:twoCellAnchor>
  <xdr:twoCellAnchor editAs="oneCell">
    <xdr:from>
      <xdr:col>4</xdr:col>
      <xdr:colOff>3320144</xdr:colOff>
      <xdr:row>23</xdr:row>
      <xdr:rowOff>2</xdr:rowOff>
    </xdr:from>
    <xdr:to>
      <xdr:col>6</xdr:col>
      <xdr:colOff>3374572</xdr:colOff>
      <xdr:row>25</xdr:row>
      <xdr:rowOff>3964</xdr:rowOff>
    </xdr:to>
    <xdr:pic>
      <xdr:nvPicPr>
        <xdr:cNvPr id="16" name="Picture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3"/>
        <a:stretch>
          <a:fillRect/>
        </a:stretch>
      </xdr:blipFill>
      <xdr:spPr>
        <a:xfrm>
          <a:off x="7279823" y="4585609"/>
          <a:ext cx="6681106" cy="384962"/>
        </a:xfrm>
        <a:prstGeom prst="rect">
          <a:avLst/>
        </a:prstGeom>
      </xdr:spPr>
    </xdr:pic>
    <xdr:clientData/>
  </xdr:twoCellAnchor>
  <xdr:twoCellAnchor editAs="oneCell">
    <xdr:from>
      <xdr:col>6</xdr:col>
      <xdr:colOff>1809751</xdr:colOff>
      <xdr:row>19</xdr:row>
      <xdr:rowOff>13606</xdr:rowOff>
    </xdr:from>
    <xdr:to>
      <xdr:col>8</xdr:col>
      <xdr:colOff>2114421</xdr:colOff>
      <xdr:row>20</xdr:row>
      <xdr:rowOff>108856</xdr:rowOff>
    </xdr:to>
    <xdr:pic>
      <xdr:nvPicPr>
        <xdr:cNvPr id="17" name="Picture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4"/>
        <a:stretch>
          <a:fillRect/>
        </a:stretch>
      </xdr:blipFill>
      <xdr:spPr>
        <a:xfrm>
          <a:off x="12396108" y="3837213"/>
          <a:ext cx="6795277" cy="285750"/>
        </a:xfrm>
        <a:prstGeom prst="rect">
          <a:avLst/>
        </a:prstGeom>
      </xdr:spPr>
    </xdr:pic>
    <xdr:clientData/>
  </xdr:twoCellAnchor>
  <xdr:twoCellAnchor editAs="oneCell">
    <xdr:from>
      <xdr:col>7</xdr:col>
      <xdr:colOff>2911928</xdr:colOff>
      <xdr:row>23</xdr:row>
      <xdr:rowOff>13607</xdr:rowOff>
    </xdr:from>
    <xdr:to>
      <xdr:col>10</xdr:col>
      <xdr:colOff>1142999</xdr:colOff>
      <xdr:row>26</xdr:row>
      <xdr:rowOff>63477</xdr:rowOff>
    </xdr:to>
    <xdr:pic>
      <xdr:nvPicPr>
        <xdr:cNvPr id="18" name="Picture 17">
          <a:extLst>
            <a:ext uri="{FF2B5EF4-FFF2-40B4-BE49-F238E27FC236}">
              <a16:creationId xmlns:a16="http://schemas.microsoft.com/office/drawing/2014/main" id="{00000000-0008-0000-0800-000012000000}"/>
            </a:ext>
          </a:extLst>
        </xdr:cNvPr>
        <xdr:cNvPicPr>
          <a:picLocks noChangeAspect="1"/>
        </xdr:cNvPicPr>
      </xdr:nvPicPr>
      <xdr:blipFill>
        <a:blip xmlns:r="http://schemas.openxmlformats.org/officeDocument/2006/relationships" r:embed="rId5"/>
        <a:stretch>
          <a:fillRect/>
        </a:stretch>
      </xdr:blipFill>
      <xdr:spPr>
        <a:xfrm>
          <a:off x="17008928" y="4599214"/>
          <a:ext cx="7375071" cy="621370"/>
        </a:xfrm>
        <a:prstGeom prst="rect">
          <a:avLst/>
        </a:prstGeom>
      </xdr:spPr>
    </xdr:pic>
    <xdr:clientData/>
  </xdr:twoCellAnchor>
  <xdr:twoCellAnchor editAs="oneCell">
    <xdr:from>
      <xdr:col>9</xdr:col>
      <xdr:colOff>2626179</xdr:colOff>
      <xdr:row>19</xdr:row>
      <xdr:rowOff>13607</xdr:rowOff>
    </xdr:from>
    <xdr:to>
      <xdr:col>11</xdr:col>
      <xdr:colOff>3265714</xdr:colOff>
      <xdr:row>21</xdr:row>
      <xdr:rowOff>54102</xdr:rowOff>
    </xdr:to>
    <xdr:pic>
      <xdr:nvPicPr>
        <xdr:cNvPr id="19" name="Picture 18">
          <a:extLst>
            <a:ext uri="{FF2B5EF4-FFF2-40B4-BE49-F238E27FC236}">
              <a16:creationId xmlns:a16="http://schemas.microsoft.com/office/drawing/2014/main" id="{00000000-0008-0000-0800-000013000000}"/>
            </a:ext>
          </a:extLst>
        </xdr:cNvPr>
        <xdr:cNvPicPr>
          <a:picLocks noChangeAspect="1"/>
        </xdr:cNvPicPr>
      </xdr:nvPicPr>
      <xdr:blipFill>
        <a:blip xmlns:r="http://schemas.openxmlformats.org/officeDocument/2006/relationships" r:embed="rId6"/>
        <a:stretch>
          <a:fillRect/>
        </a:stretch>
      </xdr:blipFill>
      <xdr:spPr>
        <a:xfrm>
          <a:off x="21907500" y="3837214"/>
          <a:ext cx="6585857" cy="421495"/>
        </a:xfrm>
        <a:prstGeom prst="rect">
          <a:avLst/>
        </a:prstGeom>
      </xdr:spPr>
    </xdr:pic>
    <xdr:clientData/>
  </xdr:twoCellAnchor>
  <xdr:twoCellAnchor editAs="oneCell">
    <xdr:from>
      <xdr:col>14</xdr:col>
      <xdr:colOff>1</xdr:colOff>
      <xdr:row>23</xdr:row>
      <xdr:rowOff>40822</xdr:rowOff>
    </xdr:from>
    <xdr:to>
      <xdr:col>17</xdr:col>
      <xdr:colOff>687335</xdr:colOff>
      <xdr:row>27</xdr:row>
      <xdr:rowOff>78822</xdr:rowOff>
    </xdr:to>
    <xdr:pic>
      <xdr:nvPicPr>
        <xdr:cNvPr id="20" name="Picture 19">
          <a:extLst>
            <a:ext uri="{FF2B5EF4-FFF2-40B4-BE49-F238E27FC236}">
              <a16:creationId xmlns:a16="http://schemas.microsoft.com/office/drawing/2014/main" id="{00000000-0008-0000-0800-000014000000}"/>
            </a:ext>
          </a:extLst>
        </xdr:cNvPr>
        <xdr:cNvPicPr>
          <a:picLocks noChangeAspect="1"/>
        </xdr:cNvPicPr>
      </xdr:nvPicPr>
      <xdr:blipFill>
        <a:blip xmlns:r="http://schemas.openxmlformats.org/officeDocument/2006/relationships" r:embed="rId7"/>
        <a:stretch>
          <a:fillRect/>
        </a:stretch>
      </xdr:blipFill>
      <xdr:spPr>
        <a:xfrm>
          <a:off x="32888465" y="4422322"/>
          <a:ext cx="9504762" cy="800000"/>
        </a:xfrm>
        <a:prstGeom prst="rect">
          <a:avLst/>
        </a:prstGeom>
      </xdr:spPr>
    </xdr:pic>
    <xdr:clientData/>
  </xdr:twoCellAnchor>
  <xdr:twoCellAnchor editAs="oneCell">
    <xdr:from>
      <xdr:col>21</xdr:col>
      <xdr:colOff>2449287</xdr:colOff>
      <xdr:row>23</xdr:row>
      <xdr:rowOff>27214</xdr:rowOff>
    </xdr:from>
    <xdr:to>
      <xdr:col>24</xdr:col>
      <xdr:colOff>1592036</xdr:colOff>
      <xdr:row>26</xdr:row>
      <xdr:rowOff>140825</xdr:rowOff>
    </xdr:to>
    <xdr:pic>
      <xdr:nvPicPr>
        <xdr:cNvPr id="21" name="Picture 20">
          <a:extLst>
            <a:ext uri="{FF2B5EF4-FFF2-40B4-BE49-F238E27FC236}">
              <a16:creationId xmlns:a16="http://schemas.microsoft.com/office/drawing/2014/main" id="{00000000-0008-0000-0800-000015000000}"/>
            </a:ext>
          </a:extLst>
        </xdr:cNvPr>
        <xdr:cNvPicPr>
          <a:picLocks noChangeAspect="1"/>
        </xdr:cNvPicPr>
      </xdr:nvPicPr>
      <xdr:blipFill>
        <a:blip xmlns:r="http://schemas.openxmlformats.org/officeDocument/2006/relationships" r:embed="rId8"/>
        <a:stretch>
          <a:fillRect/>
        </a:stretch>
      </xdr:blipFill>
      <xdr:spPr>
        <a:xfrm>
          <a:off x="63803894" y="4612821"/>
          <a:ext cx="8123464" cy="685111"/>
        </a:xfrm>
        <a:prstGeom prst="rect">
          <a:avLst/>
        </a:prstGeom>
      </xdr:spPr>
    </xdr:pic>
    <xdr:clientData/>
  </xdr:twoCellAnchor>
  <xdr:twoCellAnchor editAs="oneCell">
    <xdr:from>
      <xdr:col>23</xdr:col>
      <xdr:colOff>2422071</xdr:colOff>
      <xdr:row>18</xdr:row>
      <xdr:rowOff>163286</xdr:rowOff>
    </xdr:from>
    <xdr:to>
      <xdr:col>26</xdr:col>
      <xdr:colOff>1279072</xdr:colOff>
      <xdr:row>21</xdr:row>
      <xdr:rowOff>188546</xdr:rowOff>
    </xdr:to>
    <xdr:pic>
      <xdr:nvPicPr>
        <xdr:cNvPr id="22" name="Picture 21">
          <a:extLst>
            <a:ext uri="{FF2B5EF4-FFF2-40B4-BE49-F238E27FC236}">
              <a16:creationId xmlns:a16="http://schemas.microsoft.com/office/drawing/2014/main" id="{00000000-0008-0000-0800-000016000000}"/>
            </a:ext>
          </a:extLst>
        </xdr:cNvPr>
        <xdr:cNvPicPr>
          <a:picLocks noChangeAspect="1"/>
        </xdr:cNvPicPr>
      </xdr:nvPicPr>
      <xdr:blipFill>
        <a:blip xmlns:r="http://schemas.openxmlformats.org/officeDocument/2006/relationships" r:embed="rId9"/>
        <a:stretch>
          <a:fillRect/>
        </a:stretch>
      </xdr:blipFill>
      <xdr:spPr>
        <a:xfrm>
          <a:off x="70308107" y="3796393"/>
          <a:ext cx="6599465" cy="596760"/>
        </a:xfrm>
        <a:prstGeom prst="rect">
          <a:avLst/>
        </a:prstGeom>
      </xdr:spPr>
    </xdr:pic>
    <xdr:clientData/>
  </xdr:twoCellAnchor>
  <xdr:twoCellAnchor editAs="oneCell">
    <xdr:from>
      <xdr:col>28</xdr:col>
      <xdr:colOff>258535</xdr:colOff>
      <xdr:row>23</xdr:row>
      <xdr:rowOff>13608</xdr:rowOff>
    </xdr:from>
    <xdr:to>
      <xdr:col>28</xdr:col>
      <xdr:colOff>8205107</xdr:colOff>
      <xdr:row>26</xdr:row>
      <xdr:rowOff>103658</xdr:rowOff>
    </xdr:to>
    <xdr:pic>
      <xdr:nvPicPr>
        <xdr:cNvPr id="24" name="Picture 23">
          <a:extLst>
            <a:ext uri="{FF2B5EF4-FFF2-40B4-BE49-F238E27FC236}">
              <a16:creationId xmlns:a16="http://schemas.microsoft.com/office/drawing/2014/main" id="{00000000-0008-0000-0800-000018000000}"/>
            </a:ext>
          </a:extLst>
        </xdr:cNvPr>
        <xdr:cNvPicPr>
          <a:picLocks noChangeAspect="1"/>
        </xdr:cNvPicPr>
      </xdr:nvPicPr>
      <xdr:blipFill>
        <a:blip xmlns:r="http://schemas.openxmlformats.org/officeDocument/2006/relationships" r:embed="rId10"/>
        <a:stretch>
          <a:fillRect/>
        </a:stretch>
      </xdr:blipFill>
      <xdr:spPr>
        <a:xfrm>
          <a:off x="78472392" y="4599215"/>
          <a:ext cx="7946572" cy="661550"/>
        </a:xfrm>
        <a:prstGeom prst="rect">
          <a:avLst/>
        </a:prstGeom>
      </xdr:spPr>
    </xdr:pic>
    <xdr:clientData/>
  </xdr:twoCellAnchor>
  <xdr:twoCellAnchor editAs="oneCell">
    <xdr:from>
      <xdr:col>30</xdr:col>
      <xdr:colOff>1700893</xdr:colOff>
      <xdr:row>18</xdr:row>
      <xdr:rowOff>176893</xdr:rowOff>
    </xdr:from>
    <xdr:to>
      <xdr:col>33</xdr:col>
      <xdr:colOff>3308072</xdr:colOff>
      <xdr:row>22</xdr:row>
      <xdr:rowOff>5369</xdr:rowOff>
    </xdr:to>
    <xdr:pic>
      <xdr:nvPicPr>
        <xdr:cNvPr id="25" name="Picture 24">
          <a:extLst>
            <a:ext uri="{FF2B5EF4-FFF2-40B4-BE49-F238E27FC236}">
              <a16:creationId xmlns:a16="http://schemas.microsoft.com/office/drawing/2014/main" id="{00000000-0008-0000-0800-000019000000}"/>
            </a:ext>
          </a:extLst>
        </xdr:cNvPr>
        <xdr:cNvPicPr>
          <a:picLocks noChangeAspect="1"/>
        </xdr:cNvPicPr>
      </xdr:nvPicPr>
      <xdr:blipFill>
        <a:blip xmlns:r="http://schemas.openxmlformats.org/officeDocument/2006/relationships" r:embed="rId11"/>
        <a:stretch>
          <a:fillRect/>
        </a:stretch>
      </xdr:blipFill>
      <xdr:spPr>
        <a:xfrm>
          <a:off x="92814322" y="3810000"/>
          <a:ext cx="9485714" cy="590476"/>
        </a:xfrm>
        <a:prstGeom prst="rect">
          <a:avLst/>
        </a:prstGeom>
      </xdr:spPr>
    </xdr:pic>
    <xdr:clientData/>
  </xdr:twoCellAnchor>
  <xdr:twoCellAnchor editAs="oneCell">
    <xdr:from>
      <xdr:col>7</xdr:col>
      <xdr:colOff>1401536</xdr:colOff>
      <xdr:row>35</xdr:row>
      <xdr:rowOff>13607</xdr:rowOff>
    </xdr:from>
    <xdr:to>
      <xdr:col>10</xdr:col>
      <xdr:colOff>1748275</xdr:colOff>
      <xdr:row>74</xdr:row>
      <xdr:rowOff>149678</xdr:rowOff>
    </xdr:to>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12"/>
        <a:stretch>
          <a:fillRect/>
        </a:stretch>
      </xdr:blipFill>
      <xdr:spPr>
        <a:xfrm>
          <a:off x="15498536" y="6939643"/>
          <a:ext cx="9490739" cy="7565571"/>
        </a:xfrm>
        <a:prstGeom prst="rect">
          <a:avLst/>
        </a:prstGeom>
      </xdr:spPr>
    </xdr:pic>
    <xdr:clientData/>
  </xdr:twoCellAnchor>
  <xdr:twoCellAnchor editAs="oneCell">
    <xdr:from>
      <xdr:col>4</xdr:col>
      <xdr:colOff>40821</xdr:colOff>
      <xdr:row>35</xdr:row>
      <xdr:rowOff>27215</xdr:rowOff>
    </xdr:from>
    <xdr:to>
      <xdr:col>7</xdr:col>
      <xdr:colOff>598738</xdr:colOff>
      <xdr:row>59</xdr:row>
      <xdr:rowOff>188548</xdr:rowOff>
    </xdr:to>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13"/>
        <a:stretch>
          <a:fillRect/>
        </a:stretch>
      </xdr:blipFill>
      <xdr:spPr>
        <a:xfrm>
          <a:off x="4000500" y="6953251"/>
          <a:ext cx="10695238" cy="473333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RA/___Risk%20Assessment%20per%20NIST%20800-53/___Development/NIST%20800-53%20Templates%20-%2020180828.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uidance"/>
      <sheetName val="NIST 800-30 Figures"/>
      <sheetName val=" Threat_Sources_Doc"/>
      <sheetName val="D_TSource_Test"/>
      <sheetName val="Threat_Events_Doc"/>
      <sheetName val="E_TEvent_Test"/>
      <sheetName val="VulnerabilitiesPredisposing_Doc"/>
      <sheetName val="F_Vul&amp;Pre_Test"/>
      <sheetName val="Likelihood_Doc"/>
      <sheetName val="G_Likelihood_Test"/>
      <sheetName val="Impact_Doc"/>
      <sheetName val="H_Impact_Test"/>
      <sheetName val="Risks_Doc"/>
      <sheetName val="I_Risk_Test"/>
      <sheetName val="Template1"/>
      <sheetName val="Template2"/>
    </sheetNames>
    <sheetDataSet>
      <sheetData sheetId="0"/>
      <sheetData sheetId="1"/>
      <sheetData sheetId="2"/>
      <sheetData sheetId="3">
        <row r="7">
          <cell r="C7" t="str">
            <v>Advisarial - Outsider</v>
          </cell>
          <cell r="E7" t="str">
            <v>Very High</v>
          </cell>
          <cell r="F7">
            <v>98</v>
          </cell>
          <cell r="H7" t="str">
            <v>High</v>
          </cell>
          <cell r="I7">
            <v>87</v>
          </cell>
          <cell r="K7" t="str">
            <v>Very High</v>
          </cell>
          <cell r="L7">
            <v>98</v>
          </cell>
        </row>
        <row r="40">
          <cell r="E40" t="str">
            <v>Low</v>
          </cell>
          <cell r="F40">
            <v>12</v>
          </cell>
        </row>
      </sheetData>
      <sheetData sheetId="4"/>
      <sheetData sheetId="5">
        <row r="6">
          <cell r="C6" t="str">
            <v>Craft Phishing Attacks</v>
          </cell>
          <cell r="E6" t="str">
            <v>Confirmed</v>
          </cell>
        </row>
        <row r="7">
          <cell r="C7" t="str">
            <v>Resource Depletion</v>
          </cell>
          <cell r="D7" t="str">
            <v>Environmental Controls - Infrastructure - Failure/Outage Power</v>
          </cell>
          <cell r="E7" t="str">
            <v>Confirmed</v>
          </cell>
        </row>
      </sheetData>
      <sheetData sheetId="6"/>
      <sheetData sheetId="7">
        <row r="6">
          <cell r="C6" t="str">
            <v>Workstation</v>
          </cell>
          <cell r="D6">
            <v>98</v>
          </cell>
          <cell r="I6" t="str">
            <v>Information-Related - Controlled Unclassified Information</v>
          </cell>
        </row>
        <row r="7">
          <cell r="D7" t="str">
            <v>Very High</v>
          </cell>
        </row>
        <row r="8">
          <cell r="C8" t="str">
            <v>Data Center (Server Complex)</v>
          </cell>
          <cell r="I8" t="str">
            <v>Technical - Functional - Single-user</v>
          </cell>
          <cell r="J8">
            <v>98</v>
          </cell>
        </row>
        <row r="9">
          <cell r="J9" t="str">
            <v>Very High</v>
          </cell>
        </row>
      </sheetData>
      <sheetData sheetId="8"/>
      <sheetData sheetId="9">
        <row r="6">
          <cell r="C6" t="str">
            <v>Very High</v>
          </cell>
          <cell r="D6">
            <v>98</v>
          </cell>
          <cell r="G6" t="str">
            <v>Moderate</v>
          </cell>
          <cell r="H6">
            <v>50</v>
          </cell>
          <cell r="I6" t="str">
            <v>High</v>
          </cell>
        </row>
        <row r="7">
          <cell r="E7" t="str">
            <v>Very High</v>
          </cell>
          <cell r="F7">
            <v>98</v>
          </cell>
          <cell r="G7" t="str">
            <v>Low</v>
          </cell>
          <cell r="H7">
            <v>12</v>
          </cell>
          <cell r="I7" t="str">
            <v>Moderate</v>
          </cell>
        </row>
      </sheetData>
      <sheetData sheetId="10"/>
      <sheetData sheetId="11">
        <row r="7">
          <cell r="G7" t="str">
            <v>Moderate</v>
          </cell>
          <cell r="H7">
            <v>50</v>
          </cell>
        </row>
        <row r="8">
          <cell r="G8" t="str">
            <v>Low</v>
          </cell>
          <cell r="H8">
            <v>12</v>
          </cell>
        </row>
      </sheetData>
      <sheetData sheetId="12"/>
      <sheetData sheetId="13"/>
      <sheetData sheetId="14"/>
      <sheetData sheetId="15"/>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nvlpubs.nist.gov/nistpubs/Legacy/SP/nistspecialpublication800-30r1.pdf"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0.xml"/><Relationship Id="rId2" Type="http://schemas.openxmlformats.org/officeDocument/2006/relationships/printerSettings" Target="../printerSettings/printerSettings10.bin"/><Relationship Id="rId1" Type="http://schemas.openxmlformats.org/officeDocument/2006/relationships/hyperlink" Target="https://www.youtube.com/watch?v=XeNJ44TgyEM"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8" Type="http://schemas.openxmlformats.org/officeDocument/2006/relationships/hyperlink" Target="https://www.youtube.com/watch?v=E7gQ-PgYkMc" TargetMode="External"/><Relationship Id="rId3" Type="http://schemas.openxmlformats.org/officeDocument/2006/relationships/hyperlink" Target="https://www.youtube.com/watch?v=WYZx7noLbKI" TargetMode="External"/><Relationship Id="rId7" Type="http://schemas.openxmlformats.org/officeDocument/2006/relationships/hyperlink" Target="https://www.youtube.com/watch?v=tGY70sdpaLc" TargetMode="External"/><Relationship Id="rId2" Type="http://schemas.openxmlformats.org/officeDocument/2006/relationships/hyperlink" Target="https://youtu.be/F264FpBDX28" TargetMode="External"/><Relationship Id="rId1" Type="http://schemas.openxmlformats.org/officeDocument/2006/relationships/hyperlink" Target="https://youtu.be/RPTQjbk2qy4" TargetMode="External"/><Relationship Id="rId6" Type="http://schemas.openxmlformats.org/officeDocument/2006/relationships/hyperlink" Target="https://www.youtube.com/watch?v=jOuWsIVsd8Q" TargetMode="External"/><Relationship Id="rId5" Type="http://schemas.openxmlformats.org/officeDocument/2006/relationships/hyperlink" Target="https://www.youtube.com/watch?v=jOuWsIVsd8Q" TargetMode="External"/><Relationship Id="rId10" Type="http://schemas.openxmlformats.org/officeDocument/2006/relationships/drawing" Target="../drawings/drawing12.xml"/><Relationship Id="rId4" Type="http://schemas.openxmlformats.org/officeDocument/2006/relationships/hyperlink" Target="https://www.youtube.com/watch?v=eszo8z0a4YQ" TargetMode="External"/><Relationship Id="rId9"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3.xml"/><Relationship Id="rId1" Type="http://schemas.openxmlformats.org/officeDocument/2006/relationships/printerSettings" Target="../printerSettings/printerSettings13.bin"/><Relationship Id="rId4" Type="http://schemas.openxmlformats.org/officeDocument/2006/relationships/comments" Target="../comments1.xml"/></Relationships>
</file>

<file path=xl/worksheets/_rels/sheet1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4.xml"/><Relationship Id="rId1" Type="http://schemas.openxmlformats.org/officeDocument/2006/relationships/printerSettings" Target="../printerSettings/printerSettings14.bin"/><Relationship Id="rId4" Type="http://schemas.openxmlformats.org/officeDocument/2006/relationships/comments" Target="../comments2.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5.xml"/><Relationship Id="rId1" Type="http://schemas.openxmlformats.org/officeDocument/2006/relationships/printerSettings" Target="../printerSettings/printerSettings15.bin"/><Relationship Id="rId4" Type="http://schemas.openxmlformats.org/officeDocument/2006/relationships/comments" Target="../comments3.xml"/></Relationships>
</file>

<file path=xl/worksheets/_rels/sheet18.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16.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8" Type="http://schemas.openxmlformats.org/officeDocument/2006/relationships/hyperlink" Target="https://www.youtube.com/watch?v=4ca30mU5E9I" TargetMode="External"/><Relationship Id="rId13" Type="http://schemas.openxmlformats.org/officeDocument/2006/relationships/hyperlink" Target="https://www.youtube.com/watch?v=tGY70sdpaLc" TargetMode="External"/><Relationship Id="rId18" Type="http://schemas.openxmlformats.org/officeDocument/2006/relationships/hyperlink" Target="https://www.youtube.com/watch?v=E7gQ-PgYkMc" TargetMode="External"/><Relationship Id="rId3" Type="http://schemas.openxmlformats.org/officeDocument/2006/relationships/hyperlink" Target="https://www.youtube.com/watch?v=Ni1GE-Cuijg" TargetMode="External"/><Relationship Id="rId21" Type="http://schemas.openxmlformats.org/officeDocument/2006/relationships/hyperlink" Target="https://www.youtube.com/watch?v=E7gQ-PgYkMc" TargetMode="External"/><Relationship Id="rId7" Type="http://schemas.openxmlformats.org/officeDocument/2006/relationships/hyperlink" Target="https://www.youtube.com/watch?v=KkTaQ5OjAGc" TargetMode="External"/><Relationship Id="rId12" Type="http://schemas.openxmlformats.org/officeDocument/2006/relationships/hyperlink" Target="https://www.youtube.com/watch?v=jOuWsIVsd8Q" TargetMode="External"/><Relationship Id="rId17" Type="http://schemas.openxmlformats.org/officeDocument/2006/relationships/hyperlink" Target="https://exceljet.net/excel-functions" TargetMode="External"/><Relationship Id="rId2" Type="http://schemas.openxmlformats.org/officeDocument/2006/relationships/hyperlink" Target="https://www.youtube.com/channel/UCJtUOos_MwJa_Ewii-R3cJA" TargetMode="External"/><Relationship Id="rId16" Type="http://schemas.openxmlformats.org/officeDocument/2006/relationships/hyperlink" Target="https://exceljet.net/keyboard-shortcuts/toggle-absolute-and-relative-references" TargetMode="External"/><Relationship Id="rId20" Type="http://schemas.openxmlformats.org/officeDocument/2006/relationships/hyperlink" Target="https://www.youtube.com/watch?v=vjAx1c57khc" TargetMode="External"/><Relationship Id="rId1" Type="http://schemas.openxmlformats.org/officeDocument/2006/relationships/hyperlink" Target="https://www.youtube.com/watch?v=VxReJslyJm8" TargetMode="External"/><Relationship Id="rId6" Type="http://schemas.openxmlformats.org/officeDocument/2006/relationships/hyperlink" Target="https://www.youtube.com/watch?v=F264FpBDX28&amp;feature=youtu.be" TargetMode="External"/><Relationship Id="rId11" Type="http://schemas.openxmlformats.org/officeDocument/2006/relationships/hyperlink" Target="https://www.youtube.com/watch?v=jOuWsIVsd8Q" TargetMode="External"/><Relationship Id="rId5" Type="http://schemas.openxmlformats.org/officeDocument/2006/relationships/hyperlink" Target="https://youtu.be/F264FpBDX28" TargetMode="External"/><Relationship Id="rId15" Type="http://schemas.openxmlformats.org/officeDocument/2006/relationships/hyperlink" Target="https://exceljet.net/keyboard-shortcuts/evaluate-part-of-a-formula" TargetMode="External"/><Relationship Id="rId23" Type="http://schemas.openxmlformats.org/officeDocument/2006/relationships/drawing" Target="../drawings/drawing18.xml"/><Relationship Id="rId10" Type="http://schemas.openxmlformats.org/officeDocument/2006/relationships/hyperlink" Target="https://www.youtube.com/watch?v=eszo8z0a4YQ" TargetMode="External"/><Relationship Id="rId19" Type="http://schemas.openxmlformats.org/officeDocument/2006/relationships/hyperlink" Target="https://www.youtube.com/watch?v=WAAjvt-ehp0" TargetMode="External"/><Relationship Id="rId4" Type="http://schemas.openxmlformats.org/officeDocument/2006/relationships/hyperlink" Target="https://youtu.be/RPTQjbk2qy4" TargetMode="External"/><Relationship Id="rId9" Type="http://schemas.openxmlformats.org/officeDocument/2006/relationships/hyperlink" Target="https://www.youtube.com/watch?v=WYZx7noLbKI" TargetMode="External"/><Relationship Id="rId14" Type="http://schemas.openxmlformats.org/officeDocument/2006/relationships/hyperlink" Target="https://support.office.com/en-us/article/keyboard-shortcuts-in-excel-for-windows-1798d9d5-842a-42b8-9c99-9b7213f0040f" TargetMode="External"/><Relationship Id="rId22" Type="http://schemas.openxmlformats.org/officeDocument/2006/relationships/printerSettings" Target="../printerSettings/printerSettings17.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3.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20.xml"/><Relationship Id="rId1" Type="http://schemas.openxmlformats.org/officeDocument/2006/relationships/printerSettings" Target="../printerSettings/printerSettings20.bin"/><Relationship Id="rId4" Type="http://schemas.openxmlformats.org/officeDocument/2006/relationships/comments" Target="../comments5.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1.bin"/></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22.xml"/><Relationship Id="rId1" Type="http://schemas.openxmlformats.org/officeDocument/2006/relationships/printerSettings" Target="../printerSettings/printerSettings22.bin"/><Relationship Id="rId4" Type="http://schemas.openxmlformats.org/officeDocument/2006/relationships/comments" Target="../comments6.xml"/></Relationships>
</file>

<file path=xl/worksheets/_rels/sheet26.xml.rels><?xml version="1.0" encoding="UTF-8" standalone="yes"?>
<Relationships xmlns="http://schemas.openxmlformats.org/package/2006/relationships"><Relationship Id="rId3" Type="http://schemas.openxmlformats.org/officeDocument/2006/relationships/hyperlink" Target="mailto:G5@Work!AW7" TargetMode="External"/><Relationship Id="rId2" Type="http://schemas.openxmlformats.org/officeDocument/2006/relationships/hyperlink" Target="mailto:G5@Work!AV7" TargetMode="External"/><Relationship Id="rId1" Type="http://schemas.openxmlformats.org/officeDocument/2006/relationships/hyperlink" Target="mailto:G4@Work!AU7" TargetMode="External"/><Relationship Id="rId6" Type="http://schemas.openxmlformats.org/officeDocument/2006/relationships/drawing" Target="../drawings/drawing23.xml"/><Relationship Id="rId5" Type="http://schemas.openxmlformats.org/officeDocument/2006/relationships/printerSettings" Target="../printerSettings/printerSettings23.bin"/><Relationship Id="rId4" Type="http://schemas.openxmlformats.org/officeDocument/2006/relationships/hyperlink" Target="mailto:G5@Work!AX7" TargetMode="External"/></Relationships>
</file>

<file path=xl/worksheets/_rels/sheet27.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24.xml"/><Relationship Id="rId1" Type="http://schemas.openxmlformats.org/officeDocument/2006/relationships/printerSettings" Target="../printerSettings/printerSettings24.bin"/><Relationship Id="rId4" Type="http://schemas.openxmlformats.org/officeDocument/2006/relationships/comments" Target="../comments7.xml"/></Relationships>
</file>

<file path=xl/worksheets/_rels/sheet28.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25.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5.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6.bin"/></Relationships>
</file>

<file path=xl/worksheets/_rels/sheet3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28.xml"/><Relationship Id="rId1" Type="http://schemas.openxmlformats.org/officeDocument/2006/relationships/printerSettings" Target="../printerSettings/printerSettings27.bin"/><Relationship Id="rId4" Type="http://schemas.openxmlformats.org/officeDocument/2006/relationships/comments" Target="../comments9.xml"/></Relationships>
</file>

<file path=xl/worksheets/_rels/sheet32.xml.rels><?xml version="1.0" encoding="UTF-8" standalone="yes"?>
<Relationships xmlns="http://schemas.openxmlformats.org/package/2006/relationships"><Relationship Id="rId3" Type="http://schemas.openxmlformats.org/officeDocument/2006/relationships/drawing" Target="../drawings/drawing29.xml"/><Relationship Id="rId2" Type="http://schemas.openxmlformats.org/officeDocument/2006/relationships/printerSettings" Target="../printerSettings/printerSettings28.bin"/><Relationship Id="rId1" Type="http://schemas.openxmlformats.org/officeDocument/2006/relationships/hyperlink" Target="https://www.youtube.com/watch?v=Xn7Sd5Uu42A" TargetMode="External"/><Relationship Id="rId5" Type="http://schemas.openxmlformats.org/officeDocument/2006/relationships/comments" Target="../comments10.xml"/><Relationship Id="rId4" Type="http://schemas.openxmlformats.org/officeDocument/2006/relationships/vmlDrawing" Target="../drawings/vmlDrawing10.vml"/></Relationships>
</file>

<file path=xl/worksheets/_rels/sheet33.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30.xml"/><Relationship Id="rId1" Type="http://schemas.openxmlformats.org/officeDocument/2006/relationships/printerSettings" Target="../printerSettings/printerSettings29.bin"/><Relationship Id="rId4" Type="http://schemas.openxmlformats.org/officeDocument/2006/relationships/comments" Target="../comments11.xml"/></Relationships>
</file>

<file path=xl/worksheets/_rels/sheet34.xml.rels><?xml version="1.0" encoding="UTF-8" standalone="yes"?>
<Relationships xmlns="http://schemas.openxmlformats.org/package/2006/relationships"><Relationship Id="rId3" Type="http://schemas.openxmlformats.org/officeDocument/2006/relationships/vmlDrawing" Target="../drawings/vmlDrawing12.vml"/><Relationship Id="rId2" Type="http://schemas.openxmlformats.org/officeDocument/2006/relationships/drawing" Target="../drawings/drawing31.xml"/><Relationship Id="rId1" Type="http://schemas.openxmlformats.org/officeDocument/2006/relationships/printerSettings" Target="../printerSettings/printerSettings30.bin"/><Relationship Id="rId4" Type="http://schemas.openxmlformats.org/officeDocument/2006/relationships/comments" Target="../comments12.xml"/></Relationships>
</file>

<file path=xl/worksheets/_rels/sheet35.xml.rels><?xml version="1.0" encoding="UTF-8" standalone="yes"?>
<Relationships xmlns="http://schemas.openxmlformats.org/package/2006/relationships"><Relationship Id="rId3" Type="http://schemas.openxmlformats.org/officeDocument/2006/relationships/vmlDrawing" Target="../drawings/vmlDrawing13.vml"/><Relationship Id="rId2" Type="http://schemas.openxmlformats.org/officeDocument/2006/relationships/drawing" Target="../drawings/drawing32.xml"/><Relationship Id="rId1" Type="http://schemas.openxmlformats.org/officeDocument/2006/relationships/printerSettings" Target="../printerSettings/printerSettings31.bin"/><Relationship Id="rId4" Type="http://schemas.openxmlformats.org/officeDocument/2006/relationships/comments" Target="../comments13.xml"/></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2.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3.bin"/></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34.bin"/></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www.excel-easy.com/examples/weighted-average.html" TargetMode="External"/><Relationship Id="rId1" Type="http://schemas.openxmlformats.org/officeDocument/2006/relationships/hyperlink" Target="https://www.youtube.com/watch?v=8lvaV0af2CU" TargetMode="External"/><Relationship Id="rId4" Type="http://schemas.openxmlformats.org/officeDocument/2006/relationships/drawing" Target="../drawings/drawing2.xml"/></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35.bin"/></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36.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37.bin"/></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7.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43.xml"/><Relationship Id="rId1" Type="http://schemas.openxmlformats.org/officeDocument/2006/relationships/printerSettings" Target="../printerSettings/printerSettings38.bin"/><Relationship Id="rId4" Type="http://schemas.openxmlformats.org/officeDocument/2006/relationships/comments" Target="../comments14.xm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39.bin"/></Relationships>
</file>

<file path=xl/worksheets/_rels/sheet49.xml.rels><?xml version="1.0" encoding="UTF-8" standalone="yes"?>
<Relationships xmlns="http://schemas.openxmlformats.org/package/2006/relationships"><Relationship Id="rId3" Type="http://schemas.openxmlformats.org/officeDocument/2006/relationships/vmlDrawing" Target="../drawings/vmlDrawing15.vml"/><Relationship Id="rId2" Type="http://schemas.openxmlformats.org/officeDocument/2006/relationships/drawing" Target="../drawings/drawing45.xml"/><Relationship Id="rId1" Type="http://schemas.openxmlformats.org/officeDocument/2006/relationships/printerSettings" Target="../printerSettings/printerSettings40.bin"/><Relationship Id="rId4" Type="http://schemas.openxmlformats.org/officeDocument/2006/relationships/comments" Target="../comments15.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0.xml.rels><?xml version="1.0" encoding="UTF-8" standalone="yes"?>
<Relationships xmlns="http://schemas.openxmlformats.org/package/2006/relationships"><Relationship Id="rId3" Type="http://schemas.openxmlformats.org/officeDocument/2006/relationships/vmlDrawing" Target="../drawings/vmlDrawing16.vml"/><Relationship Id="rId2" Type="http://schemas.openxmlformats.org/officeDocument/2006/relationships/drawing" Target="../drawings/drawing46.xml"/><Relationship Id="rId1" Type="http://schemas.openxmlformats.org/officeDocument/2006/relationships/printerSettings" Target="../printerSettings/printerSettings41.bin"/><Relationship Id="rId4" Type="http://schemas.openxmlformats.org/officeDocument/2006/relationships/comments" Target="../comments16.xml"/></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42.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49.xml"/></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hyperlink" Target="https://www.youtube.com/watch?v=XeNJ44TgyEM" TargetMode="Externa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57.xml.rels><?xml version="1.0" encoding="UTF-8" standalone="yes"?>
<Relationships xmlns="http://schemas.openxmlformats.org/package/2006/relationships"><Relationship Id="rId2" Type="http://schemas.openxmlformats.org/officeDocument/2006/relationships/drawing" Target="../drawings/drawing53.xml"/><Relationship Id="rId1" Type="http://schemas.openxmlformats.org/officeDocument/2006/relationships/hyperlink" Target="https://nvlpubs.nist.gov/nistpubs/Legacy/SP/nistspecialpublication800-30r1.pdf" TargetMode="External"/></Relationships>
</file>

<file path=xl/worksheets/_rels/sheet58.xml.rels><?xml version="1.0" encoding="UTF-8" standalone="yes"?>
<Relationships xmlns="http://schemas.openxmlformats.org/package/2006/relationships"><Relationship Id="rId3" Type="http://schemas.openxmlformats.org/officeDocument/2006/relationships/package" Target="../embeddings/Microsoft_Visio_Drawing.vsdx"/><Relationship Id="rId7" Type="http://schemas.openxmlformats.org/officeDocument/2006/relationships/package" Target="../embeddings/Microsoft_Visio_Drawing3.vsdx"/><Relationship Id="rId2" Type="http://schemas.openxmlformats.org/officeDocument/2006/relationships/vmlDrawing" Target="../drawings/vmlDrawing17.vml"/><Relationship Id="rId1" Type="http://schemas.openxmlformats.org/officeDocument/2006/relationships/drawing" Target="../drawings/drawing54.xml"/><Relationship Id="rId6" Type="http://schemas.openxmlformats.org/officeDocument/2006/relationships/package" Target="../embeddings/Microsoft_Visio_Drawing2.vsdx"/><Relationship Id="rId5" Type="http://schemas.openxmlformats.org/officeDocument/2006/relationships/package" Target="../embeddings/Microsoft_Visio_Drawing1.vsdx"/><Relationship Id="rId4" Type="http://schemas.openxmlformats.org/officeDocument/2006/relationships/image" Target="../media/image173.emf"/></Relationships>
</file>

<file path=xl/worksheets/_rels/sheet59.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7.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3">
    <tabColor rgb="FFFFC000"/>
  </sheetPr>
  <dimension ref="A1:CE74"/>
  <sheetViews>
    <sheetView tabSelected="1" zoomScale="90" zoomScaleNormal="90" workbookViewId="0">
      <selection activeCell="BV27" sqref="BV27"/>
    </sheetView>
  </sheetViews>
  <sheetFormatPr defaultRowHeight="14.6"/>
  <cols>
    <col min="1" max="1" width="9.69140625" customWidth="1"/>
    <col min="2" max="2" width="14.69140625" style="1554" customWidth="1"/>
    <col min="3" max="3" width="12.69140625" customWidth="1"/>
    <col min="4" max="4" width="22.69140625" customWidth="1"/>
    <col min="5" max="5" width="20.69140625" customWidth="1"/>
    <col min="6" max="6" width="48.69140625" customWidth="1"/>
    <col min="7" max="7" width="50.69140625" customWidth="1"/>
    <col min="8" max="8" width="46.69140625" customWidth="1"/>
    <col min="9" max="9" width="22.69140625" customWidth="1"/>
    <col min="10" max="10" width="18.69140625" customWidth="1"/>
    <col min="11" max="11" width="16.69140625" customWidth="1"/>
    <col min="12" max="12" width="30.69140625" customWidth="1"/>
    <col min="13" max="13" width="52.69140625" customWidth="1"/>
    <col min="14" max="14" width="16.69140625" customWidth="1"/>
    <col min="15" max="15" width="30.69140625" customWidth="1"/>
    <col min="16" max="16" width="24.69140625" customWidth="1"/>
    <col min="17" max="18" width="26.69140625" customWidth="1"/>
    <col min="19" max="19" width="24.69140625" style="23" customWidth="1"/>
    <col min="20" max="20" width="26.69140625" style="23" customWidth="1"/>
    <col min="21" max="21" width="30.69140625" style="23" customWidth="1"/>
    <col min="22" max="22" width="24.69140625" customWidth="1"/>
    <col min="23" max="23" width="26.69140625" customWidth="1"/>
    <col min="24" max="24" width="32.69140625" customWidth="1"/>
    <col min="25" max="25" width="24.69140625" customWidth="1"/>
    <col min="26" max="27" width="26.69140625" customWidth="1"/>
    <col min="28" max="28" width="14.69140625" customWidth="1"/>
    <col min="29" max="29" width="66.69140625" customWidth="1"/>
    <col min="30" max="30" width="98.69140625" customWidth="1"/>
    <col min="31" max="31" width="70.69140625" customWidth="1"/>
    <col min="32" max="32" width="32.69140625" customWidth="1"/>
    <col min="33" max="34" width="26.69140625" customWidth="1"/>
    <col min="35" max="35" width="14.69140625" customWidth="1"/>
    <col min="36" max="36" width="60.69140625" customWidth="1"/>
    <col min="37" max="37" width="32.69140625" customWidth="1"/>
    <col min="38" max="39" width="26.69140625" customWidth="1"/>
    <col min="40" max="40" width="48.69140625" customWidth="1"/>
    <col min="41" max="41" width="148.69140625" customWidth="1"/>
    <col min="42" max="42" width="32.69140625" customWidth="1"/>
    <col min="43" max="46" width="26.69140625" customWidth="1"/>
    <col min="47" max="47" width="14.69140625" customWidth="1"/>
    <col min="48" max="48" width="18.69140625" customWidth="1"/>
    <col min="49" max="49" width="44.69140625" customWidth="1"/>
    <col min="50" max="50" width="20.69140625" customWidth="1"/>
    <col min="51" max="51" width="44.69140625" customWidth="1"/>
    <col min="52" max="52" width="20.69140625" customWidth="1"/>
    <col min="53" max="53" width="34.69140625" customWidth="1"/>
    <col min="54" max="54" width="20.69140625" customWidth="1"/>
    <col min="55" max="56" width="30.69140625" customWidth="1"/>
    <col min="57" max="57" width="26.69140625" customWidth="1"/>
    <col min="58" max="58" width="32.69140625" customWidth="1"/>
    <col min="59" max="59" width="38.69140625" customWidth="1"/>
    <col min="60" max="60" width="16.69140625" customWidth="1"/>
    <col min="61" max="61" width="36.69140625" customWidth="1"/>
    <col min="62" max="62" width="146.69140625" customWidth="1"/>
    <col min="63" max="63" width="40.69140625" customWidth="1"/>
    <col min="64" max="64" width="26.69140625" customWidth="1"/>
    <col min="65" max="65" width="14.69140625" customWidth="1"/>
    <col min="66" max="66" width="18.69140625" customWidth="1"/>
    <col min="67" max="67" width="28.69140625" customWidth="1"/>
    <col min="68" max="68" width="40.69140625" customWidth="1"/>
    <col min="69" max="69" width="38.69140625" customWidth="1"/>
    <col min="70" max="70" width="14.69140625" style="1554" customWidth="1"/>
    <col min="71" max="71" width="12.69140625" customWidth="1"/>
    <col min="72" max="72" width="16.3046875" customWidth="1"/>
    <col min="73" max="73" width="12.69140625" customWidth="1"/>
    <col min="76" max="76" width="13.84375" customWidth="1"/>
  </cols>
  <sheetData>
    <row r="1" spans="1:83" s="1804" customFormat="1">
      <c r="A1" s="1804">
        <v>9</v>
      </c>
      <c r="B1" s="1804">
        <v>14</v>
      </c>
      <c r="C1" s="1804">
        <v>12</v>
      </c>
      <c r="D1" s="1804">
        <v>22</v>
      </c>
      <c r="E1" s="1804">
        <v>20</v>
      </c>
      <c r="F1" s="1804">
        <v>48</v>
      </c>
      <c r="G1" s="1804">
        <v>50</v>
      </c>
      <c r="H1" s="1804">
        <v>46</v>
      </c>
      <c r="I1" s="1804">
        <v>22</v>
      </c>
      <c r="J1" s="1804">
        <v>18</v>
      </c>
      <c r="K1" s="1804">
        <v>16</v>
      </c>
      <c r="L1" s="1804">
        <v>30</v>
      </c>
      <c r="M1" s="1804">
        <v>52</v>
      </c>
      <c r="N1" s="1804">
        <v>16</v>
      </c>
      <c r="O1" s="1804">
        <v>30</v>
      </c>
      <c r="P1" s="1804">
        <v>24</v>
      </c>
      <c r="Q1" s="1804">
        <v>26</v>
      </c>
      <c r="R1" s="1804">
        <v>26</v>
      </c>
      <c r="S1" s="1804">
        <v>24</v>
      </c>
      <c r="T1" s="1804">
        <v>26</v>
      </c>
      <c r="U1" s="1804">
        <v>30</v>
      </c>
      <c r="V1" s="1804">
        <v>24</v>
      </c>
      <c r="W1" s="1804">
        <v>26</v>
      </c>
      <c r="X1" s="1804">
        <v>32</v>
      </c>
      <c r="Y1" s="1804">
        <v>20</v>
      </c>
      <c r="Z1" s="1804">
        <v>26</v>
      </c>
      <c r="AA1" s="1804">
        <v>26</v>
      </c>
      <c r="AB1" s="1804">
        <v>14</v>
      </c>
      <c r="AC1" s="1804">
        <v>66</v>
      </c>
      <c r="AD1" s="1804">
        <v>98</v>
      </c>
      <c r="AE1" s="1804">
        <v>56</v>
      </c>
      <c r="AF1" s="1804">
        <v>32</v>
      </c>
      <c r="AG1" s="1804">
        <v>26</v>
      </c>
      <c r="AH1" s="1804">
        <v>26</v>
      </c>
      <c r="AI1" s="1804">
        <v>14</v>
      </c>
      <c r="AJ1" s="1804">
        <v>60</v>
      </c>
      <c r="AK1" s="1950" t="s">
        <v>2192</v>
      </c>
      <c r="AL1" s="1804">
        <v>26</v>
      </c>
      <c r="AM1" s="1804">
        <v>26</v>
      </c>
      <c r="AN1" s="1951"/>
      <c r="AO1" s="1804">
        <v>148</v>
      </c>
      <c r="AP1" s="1804">
        <v>32</v>
      </c>
      <c r="AQ1" s="1804">
        <v>26</v>
      </c>
      <c r="AR1" s="1804">
        <v>26</v>
      </c>
      <c r="AS1" s="1804">
        <v>26</v>
      </c>
      <c r="AT1" s="1804">
        <v>26</v>
      </c>
      <c r="AU1" s="1804">
        <v>14</v>
      </c>
      <c r="AV1" s="1804">
        <v>18</v>
      </c>
      <c r="AW1" s="1804">
        <v>44</v>
      </c>
      <c r="AX1" s="1804">
        <v>20</v>
      </c>
      <c r="AY1" s="1804">
        <v>44</v>
      </c>
      <c r="AZ1" s="1804">
        <v>20</v>
      </c>
      <c r="BA1" s="1804">
        <v>34</v>
      </c>
      <c r="BB1" s="1804">
        <v>20</v>
      </c>
      <c r="BC1" s="1804">
        <v>30</v>
      </c>
      <c r="BD1" s="1804">
        <v>30</v>
      </c>
      <c r="BE1" s="1804">
        <v>26</v>
      </c>
      <c r="BF1" s="1804">
        <v>32</v>
      </c>
      <c r="BG1" s="1804">
        <v>38</v>
      </c>
      <c r="BH1" s="1804">
        <v>16</v>
      </c>
      <c r="BI1" s="1804">
        <v>36</v>
      </c>
      <c r="BJ1" s="1804">
        <v>146</v>
      </c>
      <c r="BK1" s="1804">
        <v>40</v>
      </c>
      <c r="BL1" s="1804">
        <v>26</v>
      </c>
      <c r="BM1" s="1804">
        <v>14</v>
      </c>
      <c r="BN1" s="1804">
        <v>18</v>
      </c>
      <c r="BO1" s="1804">
        <v>28</v>
      </c>
      <c r="BP1" s="1804">
        <v>40</v>
      </c>
      <c r="BQ1" s="1804">
        <v>38</v>
      </c>
      <c r="BR1" s="1804">
        <v>14</v>
      </c>
    </row>
    <row r="2" spans="1:83" s="23" customFormat="1" ht="15" thickBot="1">
      <c r="B2" s="2619" t="s">
        <v>2255</v>
      </c>
      <c r="C2" s="2620" t="s">
        <v>2256</v>
      </c>
      <c r="D2" s="2619" t="s">
        <v>2257</v>
      </c>
      <c r="E2" s="2621" t="s">
        <v>2258</v>
      </c>
      <c r="F2" s="2620" t="s">
        <v>2260</v>
      </c>
      <c r="G2" s="2620" t="s">
        <v>2259</v>
      </c>
      <c r="H2" s="2620" t="s">
        <v>2261</v>
      </c>
      <c r="I2" s="2620" t="s">
        <v>1296</v>
      </c>
      <c r="J2" s="2620"/>
      <c r="AK2" s="1950" t="s">
        <v>897</v>
      </c>
      <c r="AW2"/>
      <c r="AY2"/>
      <c r="AZ2"/>
      <c r="BA2"/>
      <c r="BK2"/>
      <c r="BR2" s="1554"/>
    </row>
    <row r="3" spans="1:83" s="246" customFormat="1" ht="86.15" customHeight="1" thickTop="1" thickBot="1">
      <c r="B3" s="2021" t="s">
        <v>2202</v>
      </c>
      <c r="C3" s="2022"/>
      <c r="D3" s="2022"/>
      <c r="E3" s="2022"/>
      <c r="F3" s="2022"/>
      <c r="G3" s="2022"/>
      <c r="H3" s="2022"/>
      <c r="I3" s="2022"/>
      <c r="J3" s="2023"/>
      <c r="K3" s="1810"/>
      <c r="L3" s="2001" t="str">
        <f>VLOOKUP($L$8,'D2'!B$12:$C$17,2,FALSE)</f>
        <v>Description: 
Individuals, groups, organizations, or states that seek to exploit the organization’s dependence on cyber resources (i.e., information in electronic form, information and communications technologies, and the communications and information-handling capabilities provided by those technologies). Notable characteristics include Cability, Intent and Targeting.</v>
      </c>
      <c r="M3" s="2002"/>
      <c r="N3" s="1810"/>
      <c r="O3" s="1811"/>
      <c r="P3" s="1811"/>
      <c r="Q3" s="1812"/>
      <c r="R3" s="2007" t="str">
        <f>IF(InScope,  IF(Adversarial, VLOOKUP(Work!$R$8,'D4'!$C$30:$G$35,5,FALSE), ""),  "")</f>
        <v>Description: 
The adversary actively seeks to obtain critical or sensitive information or to usurp/disrupt the organization’s cyber resources, and does so without concern about attack detection/disclosure of tradecraft.</v>
      </c>
      <c r="S3" s="2008"/>
      <c r="T3" s="2009"/>
      <c r="U3" s="1983" t="str">
        <f>IF(InScope,   IF(Adversarial, VLOOKUP(Work!$U$8,'D5'!$C$30:$G$35,5,FALSE), ""),  "")</f>
        <v>Description: 
The adversary uses publicly available information to target a class of high-value organizations or information, and seeks targets of opportunity within that class.</v>
      </c>
      <c r="V3" s="1989"/>
      <c r="W3" s="1984"/>
      <c r="X3" s="1983" t="str">
        <f>IF(InScope,                            IF(Adversarial, "", VLOOKUP(Work!$X$8,'D6'!$C$30:$G$35,5,FALSE)),                              "")</f>
        <v/>
      </c>
      <c r="Y3" s="1984"/>
      <c r="Z3" s="1775"/>
      <c r="AA3" s="525"/>
      <c r="AC3" s="1813"/>
      <c r="AD3" s="1814"/>
      <c r="AE3" s="2029" t="str">
        <f>IF(Adversarial, "", HLOOKUP($AE$8,'E3'!D38:V39,2,FALSE) )</f>
        <v/>
      </c>
      <c r="AF3" s="1983" t="str">
        <f>VLOOKUP($AF$8,'E4'!$C$16:$E$21,3,FALSE)</f>
        <v>Description: 
The threat event [Tactics, Techniques, and Procedures (TTP), if Adversarial] has been seen by the organization’s peers or partners.</v>
      </c>
      <c r="AG3" s="1989"/>
      <c r="AH3" s="1984"/>
      <c r="AK3" s="1813"/>
      <c r="AL3" s="1813"/>
      <c r="AM3" s="1813"/>
      <c r="AN3" s="1991"/>
      <c r="AO3" s="1991"/>
      <c r="AP3" s="1811"/>
      <c r="AQ3" s="1811"/>
      <c r="AR3" s="1811"/>
      <c r="AS3" s="1811"/>
      <c r="AW3" s="1983" t="str">
        <f>VLOOKUP($AW$8,'G2'!$C17:$G23,5,FALSE)</f>
        <v>Description: 
Adversary is unlikely to initiate the threat event.</v>
      </c>
      <c r="AX3" s="1984"/>
      <c r="AY3" s="1983" t="e">
        <f>VLOOKUP($AY$8,'G3'!C17:G22,5,FALSE)</f>
        <v>#N/A</v>
      </c>
      <c r="AZ3" s="1984"/>
      <c r="BA3" s="1983" t="str">
        <f>VLOOKUP($BA$8,'G4'!C17:G22,5,FALSE)</f>
        <v>Description: If the threat event is initiated or occurs, it is highly likely to have adverse impacts.</v>
      </c>
      <c r="BB3" s="1984"/>
      <c r="BC3" s="1775"/>
      <c r="BD3" s="1775"/>
      <c r="BE3" s="1775"/>
      <c r="BK3" s="1983" t="str">
        <f>VLOOKUP($BK$8,'H3'!C17:G22,5,FALSE)</f>
        <v>Description: (FIPS 199 Moderate) The threat event could be expected to have a serious adverse effect on organizational operations, organizational assets, individuals other organizations, or the Nation. A serious adverse effect means that, for example, the threat event might: (i) cause a significant degradation in mission capability to an extent and duration that the organization is able to perform its primary functions, but the effectiveness of the functions is significantly reduced; (ii) result in significant damage to organizational assets; (iii) result in significant financial loss; or (iv) result in significant harm to individuals that does not involve loss of life or serious life-threatening injuries.</v>
      </c>
      <c r="BL3" s="1984"/>
      <c r="BO3" s="1775"/>
      <c r="BP3" s="1775"/>
      <c r="BQ3" s="1775"/>
      <c r="BR3" s="1815"/>
    </row>
    <row r="4" spans="1:83" s="246" customFormat="1" ht="86.15" customHeight="1" thickTop="1" thickBot="1">
      <c r="B4" s="2024" t="s">
        <v>2201</v>
      </c>
      <c r="C4" s="2025"/>
      <c r="D4" s="2025"/>
      <c r="E4" s="2025"/>
      <c r="F4" s="2025"/>
      <c r="G4" s="2025"/>
      <c r="H4" s="2025"/>
      <c r="I4" s="2025"/>
      <c r="J4" s="2026"/>
      <c r="K4" s="877"/>
      <c r="L4" s="2003"/>
      <c r="M4" s="2004"/>
      <c r="N4" s="877"/>
      <c r="O4" s="1813"/>
      <c r="P4" s="1813"/>
      <c r="Q4" s="1814"/>
      <c r="R4" s="2010"/>
      <c r="S4" s="2011"/>
      <c r="T4" s="2012"/>
      <c r="U4" s="1985"/>
      <c r="V4" s="2016"/>
      <c r="W4" s="1986"/>
      <c r="X4" s="1985"/>
      <c r="Y4" s="1986"/>
      <c r="Z4" s="1776"/>
      <c r="AA4" s="525"/>
      <c r="AC4" s="1983" t="str">
        <f ca="1">IF(Adversarial, OFFSET(E2_desc!$C$38,   VALUE(CONCATENATE(_xlfn.IFNA(MATCH(Work!$AD$8,'E2'!D39:D78,0),""),_xlfn.IFNA(MATCH(Work!$AD$8,'E2'!E39:E78,0),""), _xlfn.IFNA(MATCH(Work!$AD$8,'E2'!F39:F78,0),""), _xlfn.IFNA(MATCH(Work!$AD$8,'E2'!G39:G78,0),""),_xlfn.IFNA(MATCH(Work!$AD$8,'E2'!H39:H78,0),""),_xlfn.IFNA(MATCH(Work!$AD$8,'E2'!I39:I78,0),""),_xlfn.IFNA(MATCH(Work!$AD$8,'E2'!J39:J78,0),""),_xlfn.IFNA(MATCH(Work!$AD$8,'E2'!K39:K78,0),"") ) ),   MATCH(Work!$AC$8,E2_desc!C38:J38,0) -1 ), "")</f>
        <v>Description:
Adversary directs malware on organizational systems to locate and surreptitiously transmit sensitive information.</v>
      </c>
      <c r="AD4" s="1984"/>
      <c r="AE4" s="2030"/>
      <c r="AF4" s="1994"/>
      <c r="AG4" s="1995"/>
      <c r="AH4" s="1996"/>
      <c r="AK4" s="1983" t="str">
        <f>IF(f2_na,"",VLOOKUP($AK$8,'F2'!$C17:$G23,5,FALSE))</f>
        <v>Description: 
The vulnerability is of moderate concern, based on the exposure of the vulnerability and ease of exploitation and/or on the severity of impacts that could result from its exploitation. Relevant security control or other remediation is partially implemented and somewhat effective.</v>
      </c>
      <c r="AL4" s="1989"/>
      <c r="AM4" s="1984"/>
      <c r="AN4" s="1983" t="str">
        <f ca="1">OFFSET('F4'!$C$56, 46, MATCH($AN$8,  'F4'!$C$56:$E$56,  0)-1)</f>
        <v>Description:
Needs to use technologies in specific ways.</v>
      </c>
      <c r="AO4" s="1984"/>
      <c r="AP4" s="1983" t="str">
        <f>IF(f5_na,"",VLOOKUP($AP$8,'F5'!$C30:$G36,5,FALSE))</f>
        <v>Description: Applies to many organizational missions/business functions (Tier 1), mission/business processes (Tier 2), or information systems (Tier 3).</v>
      </c>
      <c r="AQ4" s="1989"/>
      <c r="AR4" s="1984"/>
      <c r="AS4" s="1776"/>
      <c r="AW4" s="1985"/>
      <c r="AX4" s="1986"/>
      <c r="AY4" s="1985"/>
      <c r="AZ4" s="1986"/>
      <c r="BA4" s="1985"/>
      <c r="BB4" s="1986"/>
      <c r="BC4" s="1775"/>
      <c r="BD4" s="1775"/>
      <c r="BF4" s="1816"/>
      <c r="BG4" s="1817"/>
      <c r="BK4" s="1985"/>
      <c r="BL4" s="1986"/>
      <c r="BO4" s="1811"/>
      <c r="BP4" s="1811"/>
    </row>
    <row r="5" spans="1:83" s="246" customFormat="1" ht="80.150000000000006" customHeight="1" thickTop="1" thickBot="1">
      <c r="B5" s="2024" t="s">
        <v>2061</v>
      </c>
      <c r="C5" s="2025"/>
      <c r="D5" s="2025"/>
      <c r="E5" s="2025"/>
      <c r="F5" s="2025"/>
      <c r="G5" s="2025"/>
      <c r="H5" s="2025"/>
      <c r="I5" s="2025"/>
      <c r="J5" s="2026"/>
      <c r="K5" s="879"/>
      <c r="L5" s="2005"/>
      <c r="M5" s="2006"/>
      <c r="N5" s="878"/>
      <c r="O5" s="2037" t="str">
        <f>IF(InScope,                            IF(Adversarial, VLOOKUP($O$8,'D3'!C30:G35,5,FALSE),  ""),                         "")</f>
        <v>Description:
The adversary has a sophisticated level of expertise, with significant resources and opportunities to support multiple successful coordinated attacks.</v>
      </c>
      <c r="P5" s="2038"/>
      <c r="Q5" s="2039"/>
      <c r="R5" s="2013"/>
      <c r="S5" s="2014"/>
      <c r="T5" s="2015"/>
      <c r="U5" s="1987"/>
      <c r="V5" s="1990"/>
      <c r="W5" s="1988"/>
      <c r="X5" s="1987"/>
      <c r="Y5" s="1988"/>
      <c r="Z5" s="1992" t="str">
        <f>IF(InScope, "D: Threat Source
Overall Result", "")</f>
        <v>D: Threat Source
Overall Result</v>
      </c>
      <c r="AA5" s="1993"/>
      <c r="AB5" s="525"/>
      <c r="AC5" s="1987"/>
      <c r="AD5" s="1988"/>
      <c r="AE5" s="2031"/>
      <c r="AF5" s="1998" t="e">
        <f>IF(e_nna, IF(#REF!,  IF( Adversarial, IF(e_weight, "E: Threat Event Relevance", "E: Error, Renter  Weight"), ""  ),  "E_Error: Click for Mean Likelihood or Redo SME Rating" ), "")</f>
        <v>#REF!</v>
      </c>
      <c r="AG5" s="1999"/>
      <c r="AH5" s="2000"/>
      <c r="AK5" s="1987"/>
      <c r="AL5" s="1990"/>
      <c r="AM5" s="1988"/>
      <c r="AN5" s="1987"/>
      <c r="AO5" s="1988"/>
      <c r="AP5" s="1987"/>
      <c r="AQ5" s="1990"/>
      <c r="AR5" s="1988"/>
      <c r="AS5" s="1777"/>
      <c r="AT5" s="1818"/>
      <c r="AW5" s="1987"/>
      <c r="AX5" s="1988"/>
      <c r="AY5" s="1987"/>
      <c r="AZ5" s="1988"/>
      <c r="BA5" s="1987"/>
      <c r="BB5" s="1988"/>
      <c r="BC5" s="1992" t="s">
        <v>2142</v>
      </c>
      <c r="BD5" s="1997"/>
      <c r="BE5" s="1613"/>
      <c r="BF5" s="1613"/>
      <c r="BG5" s="1613"/>
      <c r="BI5" s="1619"/>
      <c r="BJ5" s="1619"/>
      <c r="BK5" s="1987"/>
      <c r="BL5" s="1988"/>
      <c r="BO5" s="1819"/>
      <c r="BP5" s="1819"/>
      <c r="BQ5" s="1813"/>
      <c r="BR5" s="1815"/>
    </row>
    <row r="6" spans="1:83" s="246" customFormat="1" ht="60" customHeight="1" thickTop="1" thickBot="1">
      <c r="B6" s="2027" t="s">
        <v>2064</v>
      </c>
      <c r="C6" s="2028"/>
      <c r="D6" s="2028"/>
      <c r="E6" s="2028"/>
      <c r="F6" s="2028"/>
      <c r="G6" s="2028"/>
      <c r="H6" s="2028"/>
      <c r="I6" s="2028"/>
      <c r="J6" s="2028"/>
      <c r="K6" s="1583" t="s">
        <v>1759</v>
      </c>
      <c r="L6" s="2049" t="str">
        <f>IF(Adversarial, "D2: TAXONOMY OF THREAT SOURCES", "D2: Error Reselect Subtype")</f>
        <v>D2: TAXONOMY OF THREAT SOURCES</v>
      </c>
      <c r="M6" s="2050"/>
      <c r="N6" s="1584" t="s">
        <v>1686</v>
      </c>
      <c r="O6" s="2032" t="str">
        <f>IF(InScope,  IF(Adversarial,  IF(SmeRatingD3, "D3_Error: Click for Mean Value or Redo SME Rating",   "D3: Characteristics of Aversarial Capability" ), "D3: Characteristics of Aversarial Capability"), "Out of Scope")</f>
        <v>D3: Characteristics of Aversarial Capability</v>
      </c>
      <c r="P6" s="2033"/>
      <c r="Q6" s="2034"/>
      <c r="R6" s="2032" t="str">
        <f>IF(InScope, IF(SmeRatingD4,"D4: CHARACTERISTICS OF ADVERSARY INTENT",     IF( Adversarial,        IF(d4_weight, "D4: CHARACTERISTICS OF ADVERSARY INTENT", "D4: Error, Renter  Weight"),      ""  )     ), "Out of Scope")</f>
        <v>D4: CHARACTERISTICS OF ADVERSARY INTENT</v>
      </c>
      <c r="S6" s="2033"/>
      <c r="T6" s="2034"/>
      <c r="U6" s="2032" t="str">
        <f>IF(InScope,  IF(SmeRatingD5,  "D5: CHARACTERISTICS OF ADVERSARY TARGETING",                  IF( Adversarial,        IF(d5_weight, "D5: CHARACTERISTICS OF ADVERSARY TARGETING", "D5: Error, Renter  Weight"),      ""  )                       ), "Out of Scope")</f>
        <v>D5: CHARACTERISTICS OF ADVERSARY TARGETING</v>
      </c>
      <c r="V6" s="2033"/>
      <c r="W6" s="2034"/>
      <c r="X6" s="2035" t="str">
        <f>IF(InScope, IF(SmeRatingD6,   "D6: Non-Adversarial Threat Sources", IF(Adversarial, "D6_Error: Click for Mean Value or Redo SME Rating", "D6: Non-Adversarial Threat Sources") ), "Out of Scope")</f>
        <v>D6: Non-Adversarial Threat Sources</v>
      </c>
      <c r="Y6" s="2036"/>
      <c r="Z6" s="1889" t="str">
        <f>IF(InScope, " D: Calculated Overall 
Likelihood", "Out of Scope")</f>
        <v xml:space="preserve"> D: Calculated Overall 
Likelihood</v>
      </c>
      <c r="AA6" s="1890" t="str">
        <f>IF(InScope, IF( d_weight, "D: Selected Weight", "D: Error, Renter  Weight"), "Out of Scope")</f>
        <v>D: Selected Weight</v>
      </c>
      <c r="AB6" s="774"/>
      <c r="AC6" s="1618" t="str">
        <f>IF(Adversarial, "E2: Adversarial Threat Events", "")</f>
        <v>E2: Adversarial Threat Events</v>
      </c>
      <c r="AD6" s="1820" t="str">
        <f>IF(Adversarial, IF(CheckE2Val_DTABLES,"E2 Error: Click a New Threat",""), "")</f>
        <v/>
      </c>
      <c r="AE6" s="1766" t="str">
        <f>IF(Adversarial, "", "E3: Non-Adversarial Threat Events")</f>
        <v/>
      </c>
      <c r="AF6" s="1529" t="str">
        <f>IF(e_na, "", "E4: Threat Event Relevance")</f>
        <v>E4: Threat Event Relevance</v>
      </c>
      <c r="AG6" s="1887" t="str">
        <f>IF(e_na, "", IF(e_rating,  "E: Likelihood",  "E: Error, Renter" ) )</f>
        <v>E: Likelihood</v>
      </c>
      <c r="AH6" s="1885" t="str">
        <f>IF(e_na, "", IF( e_weight, "E: Selected 
Weight", "E: Error, Renter  
Weight") )</f>
        <v>E: Selected 
Weight</v>
      </c>
      <c r="AK6" s="472" t="str">
        <f>IF(f2_na, "", "F2: Vernability Severity")</f>
        <v>F2: Vernability Severity</v>
      </c>
      <c r="AL6" s="472" t="str">
        <f>IF(f2_na,  "", IF(f2_rating,  "F2: SME Rating?", "F2: Error, Renter") )</f>
        <v>F2: Error, Renter</v>
      </c>
      <c r="AM6" s="1867" t="str">
        <f>IF(f2_na,  "", IF(f2_weight, "F2: Error
Renter  Weight", "F2: Selected 
Weight" ) )</f>
        <v>F2: Selected 
Weight</v>
      </c>
      <c r="AN6" s="1958" t="s">
        <v>2197</v>
      </c>
      <c r="AO6" s="1820" t="str">
        <f>SelF4Val_Dtables</f>
        <v/>
      </c>
      <c r="AP6" s="1788" t="str">
        <f>IF(f5_na, "", "F5: Condition Pervasiveness")</f>
        <v>F5: Condition Pervasiveness</v>
      </c>
      <c r="AQ6" s="1518" t="str">
        <f>IF(f5_na,"",IF(f5_rating,  "F5: Error, Renter", "F5: SME Rating?"))</f>
        <v>F5: SME Rating?</v>
      </c>
      <c r="AR6" s="1870" t="str">
        <f>IF(f5_na,  "", IF(f5_weight, "F5: Error,
 Renter  Weight", "F5: Selected 
Weight ") )</f>
        <v xml:space="preserve">F5: Selected 
Weight </v>
      </c>
      <c r="AS6" s="1884" t="s">
        <v>2132</v>
      </c>
      <c r="AT6" s="1885" t="str">
        <f>IF(f_weight, "F: Renter
Weight", "F: Selected
Weight")</f>
        <v>F: Selected
Weight</v>
      </c>
      <c r="AW6" s="2019" t="str">
        <f>IF(SmeRatingG2,"G2_Error: Click for Mean Value or Redo SME Rating","")</f>
        <v/>
      </c>
      <c r="AX6" s="2020"/>
      <c r="AY6" s="2017" t="str">
        <f>IF(SmeRatingG3,"G3_Error: Click for Mean Value or Redo SME Rating","")</f>
        <v/>
      </c>
      <c r="AZ6" s="2018"/>
      <c r="BA6" s="2017" t="str">
        <f>IF(SmeRatingG4,"G4_Error: Click for Mean Value or Redo SME Rating","")</f>
        <v/>
      </c>
      <c r="BB6" s="2018"/>
      <c r="BC6" s="1892" t="s">
        <v>2153</v>
      </c>
      <c r="BD6" s="1910" t="str">
        <f>IF(g23_na, "", IF( g23_bwt, "G2 or G3:
 Required Weight Selection", "G2 or G3: 
Error, Renter
Weight") )</f>
        <v>G2 or G3: 
Error, Renter
Weight</v>
      </c>
      <c r="BE6" s="2043" t="s">
        <v>1131</v>
      </c>
      <c r="BF6" s="2044"/>
      <c r="BG6" s="2045"/>
      <c r="BI6" s="2043" t="s">
        <v>1058</v>
      </c>
      <c r="BJ6" s="2045"/>
      <c r="BK6" s="2055" t="str">
        <f>IF(SmeRatingH3,"H3_Error: Click for Mean Value or Redo SME Rating","")</f>
        <v/>
      </c>
      <c r="BL6" s="2056"/>
      <c r="BO6" s="1894" t="s">
        <v>2147</v>
      </c>
      <c r="BP6" s="2041" t="s">
        <v>2148</v>
      </c>
      <c r="BQ6" s="2042"/>
      <c r="BR6" s="1815"/>
    </row>
    <row r="7" spans="1:83" s="525" customFormat="1" ht="20.149999999999999" customHeight="1" thickTop="1" thickBot="1">
      <c r="A7" s="1114" t="s">
        <v>1838</v>
      </c>
      <c r="B7" s="1559" t="s">
        <v>1681</v>
      </c>
      <c r="C7" s="1512" t="s">
        <v>1679</v>
      </c>
      <c r="D7" s="1513" t="s">
        <v>1680</v>
      </c>
      <c r="E7" s="1512" t="s">
        <v>210</v>
      </c>
      <c r="F7" s="1514" t="s">
        <v>1682</v>
      </c>
      <c r="G7" s="1552" t="s">
        <v>1762</v>
      </c>
      <c r="H7" s="1552" t="s">
        <v>1761</v>
      </c>
      <c r="I7" s="1552" t="s">
        <v>1757</v>
      </c>
      <c r="J7" s="1515" t="s">
        <v>170</v>
      </c>
      <c r="K7" s="1515" t="s">
        <v>1760</v>
      </c>
      <c r="L7" s="1585" t="s">
        <v>1819</v>
      </c>
      <c r="M7" s="1585" t="s">
        <v>1820</v>
      </c>
      <c r="N7" s="1516" t="s">
        <v>1728</v>
      </c>
      <c r="O7" s="1517" t="s">
        <v>133</v>
      </c>
      <c r="P7" s="1930" t="s">
        <v>2066</v>
      </c>
      <c r="Q7" s="1966" t="s">
        <v>1690</v>
      </c>
      <c r="R7" s="1520" t="s">
        <v>147</v>
      </c>
      <c r="S7" s="1930" t="s">
        <v>2067</v>
      </c>
      <c r="T7" s="1966" t="s">
        <v>1689</v>
      </c>
      <c r="U7" s="1520" t="s">
        <v>150</v>
      </c>
      <c r="V7" s="1930" t="s">
        <v>2068</v>
      </c>
      <c r="W7" s="1966" t="s">
        <v>1691</v>
      </c>
      <c r="X7" s="1520" t="s">
        <v>171</v>
      </c>
      <c r="Y7" s="1930" t="s">
        <v>2065</v>
      </c>
      <c r="Z7" s="1888" t="s">
        <v>2014</v>
      </c>
      <c r="AA7" s="1891" t="s">
        <v>2014</v>
      </c>
      <c r="AB7" s="1511" t="s">
        <v>209</v>
      </c>
      <c r="AC7" s="628" t="s">
        <v>929</v>
      </c>
      <c r="AD7" s="628" t="s">
        <v>930</v>
      </c>
      <c r="AE7" s="1521" t="s">
        <v>1998</v>
      </c>
      <c r="AF7" s="1543" t="s">
        <v>2098</v>
      </c>
      <c r="AG7" s="1888" t="s">
        <v>2069</v>
      </c>
      <c r="AH7" s="1887" t="s">
        <v>2070</v>
      </c>
      <c r="AI7" s="1522" t="s">
        <v>209</v>
      </c>
      <c r="AJ7" s="1523" t="s">
        <v>1302</v>
      </c>
      <c r="AK7" s="472" t="s">
        <v>2014</v>
      </c>
      <c r="AL7" s="472" t="s">
        <v>198</v>
      </c>
      <c r="AM7" s="472" t="s">
        <v>2133</v>
      </c>
      <c r="AN7" s="1524" t="s">
        <v>925</v>
      </c>
      <c r="AO7" s="1525" t="s">
        <v>924</v>
      </c>
      <c r="AP7" s="472" t="s">
        <v>198</v>
      </c>
      <c r="AQ7" s="472" t="s">
        <v>198</v>
      </c>
      <c r="AR7" s="472" t="s">
        <v>2140</v>
      </c>
      <c r="AS7" s="1886" t="s">
        <v>2014</v>
      </c>
      <c r="AT7" s="1886" t="s">
        <v>198</v>
      </c>
      <c r="AU7" s="1785" t="s">
        <v>209</v>
      </c>
      <c r="AV7" s="1527" t="s">
        <v>170</v>
      </c>
      <c r="AW7" s="1517" t="s">
        <v>1012</v>
      </c>
      <c r="AX7" s="1959" t="s">
        <v>2071</v>
      </c>
      <c r="AY7" s="1517" t="s">
        <v>1764</v>
      </c>
      <c r="AZ7" s="1528" t="s">
        <v>2072</v>
      </c>
      <c r="BA7" s="1517" t="s">
        <v>1014</v>
      </c>
      <c r="BB7" s="1528" t="s">
        <v>938</v>
      </c>
      <c r="BC7" s="1888" t="s">
        <v>198</v>
      </c>
      <c r="BD7" s="1891" t="s">
        <v>2140</v>
      </c>
      <c r="BE7" s="1529" t="s">
        <v>1749</v>
      </c>
      <c r="BF7" s="1530" t="s">
        <v>1750</v>
      </c>
      <c r="BG7" s="1530" t="s">
        <v>1751</v>
      </c>
      <c r="BH7" s="1522" t="s">
        <v>1681</v>
      </c>
      <c r="BI7" s="1529" t="s">
        <v>993</v>
      </c>
      <c r="BJ7" s="1529" t="s">
        <v>2073</v>
      </c>
      <c r="BK7" s="1520" t="s">
        <v>2074</v>
      </c>
      <c r="BL7" s="1518" t="s">
        <v>2075</v>
      </c>
      <c r="BM7" s="1526" t="s">
        <v>1681</v>
      </c>
      <c r="BN7" s="1527" t="s">
        <v>170</v>
      </c>
      <c r="BO7" s="1893" t="s">
        <v>2062</v>
      </c>
      <c r="BP7" s="1673" t="s">
        <v>2076</v>
      </c>
      <c r="BQ7" s="1673" t="s">
        <v>2063</v>
      </c>
      <c r="BR7" s="1555" t="s">
        <v>1681</v>
      </c>
    </row>
    <row r="8" spans="1:83" s="1927" customFormat="1" ht="20.149999999999999" customHeight="1" thickTop="1" thickBot="1">
      <c r="A8" s="1911" t="s">
        <v>1430</v>
      </c>
      <c r="B8" s="1928">
        <v>3</v>
      </c>
      <c r="C8" s="1912">
        <v>43564.381684490741</v>
      </c>
      <c r="D8" s="1913" t="s">
        <v>211</v>
      </c>
      <c r="E8" s="1914" t="s">
        <v>2218</v>
      </c>
      <c r="F8" s="121" t="s">
        <v>1248</v>
      </c>
      <c r="G8" s="1915" t="s">
        <v>2219</v>
      </c>
      <c r="H8" s="1915" t="s">
        <v>2220</v>
      </c>
      <c r="I8" s="1915" t="s">
        <v>1758</v>
      </c>
      <c r="J8" s="1913" t="s">
        <v>1</v>
      </c>
      <c r="K8" s="1913" t="s">
        <v>1684</v>
      </c>
      <c r="L8" s="1916" t="s">
        <v>1</v>
      </c>
      <c r="M8" s="1917" t="s">
        <v>1280</v>
      </c>
      <c r="N8" s="1918" t="s">
        <v>1122</v>
      </c>
      <c r="O8" s="1913" t="s">
        <v>128</v>
      </c>
      <c r="P8" s="1913">
        <v>88</v>
      </c>
      <c r="Q8" s="1919">
        <v>100</v>
      </c>
      <c r="R8" s="1913" t="s">
        <v>130</v>
      </c>
      <c r="S8" s="1919">
        <v>13</v>
      </c>
      <c r="T8" s="1919">
        <v>100</v>
      </c>
      <c r="U8" s="1913" t="s">
        <v>130</v>
      </c>
      <c r="V8" s="1919">
        <v>13</v>
      </c>
      <c r="W8" s="1919">
        <v>100</v>
      </c>
      <c r="X8" s="1913" t="s">
        <v>408</v>
      </c>
      <c r="Y8" s="1919" t="s">
        <v>408</v>
      </c>
      <c r="Z8" s="1920">
        <v>51.9</v>
      </c>
      <c r="AA8" s="1921">
        <v>100</v>
      </c>
      <c r="AB8" s="1924">
        <f>$B8</f>
        <v>3</v>
      </c>
      <c r="AC8" s="1913" t="s">
        <v>633</v>
      </c>
      <c r="AD8" s="1913" t="s">
        <v>636</v>
      </c>
      <c r="AE8" s="1920" t="s">
        <v>176</v>
      </c>
      <c r="AF8" s="1920" t="s">
        <v>2004</v>
      </c>
      <c r="AG8" s="1922">
        <v>88</v>
      </c>
      <c r="AH8" s="1923">
        <v>100</v>
      </c>
      <c r="AI8" s="1924">
        <f>$B8</f>
        <v>3</v>
      </c>
      <c r="AJ8" s="1924" t="s">
        <v>2217</v>
      </c>
      <c r="AK8" s="1913" t="s">
        <v>129</v>
      </c>
      <c r="AL8" s="1913">
        <v>51</v>
      </c>
      <c r="AM8" s="1919">
        <v>100</v>
      </c>
      <c r="AN8" s="1925" t="s">
        <v>898</v>
      </c>
      <c r="AO8" s="1916" t="s">
        <v>904</v>
      </c>
      <c r="AP8" s="1913" t="s">
        <v>129</v>
      </c>
      <c r="AQ8" s="1913">
        <v>51</v>
      </c>
      <c r="AR8" s="1913">
        <v>100</v>
      </c>
      <c r="AS8" s="1923">
        <v>51</v>
      </c>
      <c r="AT8" s="1913">
        <v>100</v>
      </c>
      <c r="AU8" s="1981">
        <f>$B8</f>
        <v>3</v>
      </c>
      <c r="AV8" s="1913" t="str">
        <f>J8</f>
        <v>Adversarial</v>
      </c>
      <c r="AW8" s="1913" t="s">
        <v>130</v>
      </c>
      <c r="AX8" s="1913">
        <v>13</v>
      </c>
      <c r="AY8" s="1913"/>
      <c r="AZ8" s="1913" t="s">
        <v>176</v>
      </c>
      <c r="BA8" s="1913" t="s">
        <v>128</v>
      </c>
      <c r="BB8" s="1913">
        <v>88</v>
      </c>
      <c r="BC8" s="1908">
        <v>13</v>
      </c>
      <c r="BD8" s="1909">
        <v>100</v>
      </c>
      <c r="BE8" s="1920" t="s">
        <v>260</v>
      </c>
      <c r="BF8" s="1920">
        <v>69.400000000000006</v>
      </c>
      <c r="BG8" s="1921" t="s">
        <v>260</v>
      </c>
      <c r="BH8" s="1924">
        <f>$B8</f>
        <v>3</v>
      </c>
      <c r="BI8" s="1913" t="s">
        <v>349</v>
      </c>
      <c r="BJ8" s="1913" t="s">
        <v>2221</v>
      </c>
      <c r="BK8" s="1913" t="s">
        <v>129</v>
      </c>
      <c r="BL8" s="1913">
        <v>51</v>
      </c>
      <c r="BM8" s="1924">
        <f>$B8</f>
        <v>3</v>
      </c>
      <c r="BN8" s="1913" t="str">
        <f>IF(Algorithm="", "", $J8)</f>
        <v>Adversarial</v>
      </c>
      <c r="BO8" s="1926" t="s">
        <v>260</v>
      </c>
      <c r="BP8" s="1909">
        <v>65</v>
      </c>
      <c r="BQ8" s="1926" t="s">
        <v>260</v>
      </c>
      <c r="BR8" s="1947">
        <f>$B8</f>
        <v>3</v>
      </c>
    </row>
    <row r="9" spans="1:83" ht="20.149999999999999" customHeight="1" thickTop="1">
      <c r="A9" s="1339" t="s">
        <v>1768</v>
      </c>
      <c r="B9" s="1932"/>
      <c r="D9" s="1931"/>
      <c r="E9" s="1931"/>
      <c r="F9" s="1933"/>
      <c r="S9"/>
      <c r="T9"/>
      <c r="U9"/>
      <c r="AK9" s="1931"/>
      <c r="AN9" s="38"/>
    </row>
    <row r="10" spans="1:83" s="1906" customFormat="1" ht="20.149999999999999" customHeight="1" thickBot="1">
      <c r="A10" s="1967"/>
      <c r="B10" s="1973"/>
      <c r="D10" s="1969"/>
      <c r="E10" s="1969"/>
      <c r="F10" s="1970"/>
      <c r="O10"/>
      <c r="P10"/>
      <c r="Q10"/>
      <c r="R10"/>
      <c r="S10"/>
      <c r="T10"/>
      <c r="U10"/>
      <c r="V10"/>
      <c r="X10"/>
      <c r="Y10"/>
      <c r="Z10"/>
      <c r="AA10"/>
      <c r="AC10"/>
      <c r="AD10"/>
      <c r="AE10"/>
      <c r="AF10"/>
      <c r="AG10"/>
      <c r="AH10"/>
      <c r="AK10" s="1969"/>
      <c r="AN10"/>
      <c r="AO10"/>
      <c r="AW10" s="1982"/>
    </row>
    <row r="11" spans="1:83" ht="20.149999999999999" customHeight="1" thickTop="1" thickBot="1">
      <c r="A11" s="1340"/>
      <c r="B11" s="1563" t="s">
        <v>209</v>
      </c>
      <c r="C11" s="1932"/>
      <c r="D11" s="1931"/>
      <c r="E11" s="1931"/>
      <c r="F11" s="1933"/>
      <c r="J11" s="1565" t="s">
        <v>1</v>
      </c>
      <c r="K11" s="1566" t="s">
        <v>1685</v>
      </c>
      <c r="N11" s="43"/>
      <c r="S11"/>
      <c r="T11"/>
      <c r="U11"/>
      <c r="AK11" s="1931"/>
    </row>
    <row r="12" spans="1:83" ht="20.149999999999999" customHeight="1" thickTop="1" thickBot="1">
      <c r="A12" s="1340"/>
      <c r="B12" s="1564" t="s">
        <v>1243</v>
      </c>
      <c r="D12" s="2051" t="s">
        <v>2199</v>
      </c>
      <c r="E12" s="2052"/>
      <c r="F12" s="2053"/>
      <c r="G12" s="2622" t="s">
        <v>213</v>
      </c>
      <c r="H12" s="2054"/>
      <c r="J12" s="1567" t="s">
        <v>1120</v>
      </c>
      <c r="K12" s="1568" t="s">
        <v>1683</v>
      </c>
      <c r="N12" s="1569" t="s">
        <v>1729</v>
      </c>
      <c r="S12"/>
      <c r="T12"/>
      <c r="U12"/>
      <c r="AK12" s="1931"/>
    </row>
    <row r="13" spans="1:83" s="1906" customFormat="1" ht="36" customHeight="1" thickTop="1" thickBot="1">
      <c r="A13" s="1967"/>
      <c r="B13" s="1968" t="s">
        <v>209</v>
      </c>
      <c r="D13" s="1969"/>
      <c r="E13" s="1969"/>
      <c r="F13" s="1970"/>
      <c r="J13" s="1971" t="s">
        <v>169</v>
      </c>
      <c r="K13" s="1972" t="s">
        <v>1684</v>
      </c>
      <c r="AK13" s="1969"/>
      <c r="AN13"/>
      <c r="AO13"/>
    </row>
    <row r="14" spans="1:83" ht="20.149999999999999" customHeight="1" thickTop="1">
      <c r="A14" s="1340"/>
      <c r="B14" s="1932"/>
      <c r="D14" s="1931"/>
      <c r="E14" s="1931"/>
      <c r="F14" s="1933"/>
      <c r="S14"/>
      <c r="T14"/>
      <c r="U14"/>
      <c r="AK14" s="1931"/>
      <c r="AN14" s="38"/>
      <c r="AO14" s="1931"/>
    </row>
    <row r="15" spans="1:83" ht="20.149999999999999" customHeight="1" thickBot="1">
      <c r="A15" s="1341"/>
      <c r="C15" s="2046" t="s">
        <v>214</v>
      </c>
      <c r="D15" s="2046"/>
      <c r="E15" s="2046"/>
      <c r="F15" s="2046"/>
      <c r="G15" s="99"/>
      <c r="H15" s="99"/>
      <c r="I15" s="99"/>
      <c r="J15" s="99"/>
      <c r="K15" s="99"/>
      <c r="L15" s="99"/>
      <c r="M15" s="23"/>
      <c r="O15" s="99"/>
      <c r="P15" s="99"/>
      <c r="Q15" s="99"/>
      <c r="R15" s="99"/>
      <c r="S15" s="99"/>
      <c r="T15" s="99"/>
      <c r="U15" s="99"/>
      <c r="V15" s="99"/>
      <c r="W15" s="99"/>
      <c r="X15" s="99"/>
      <c r="Y15" s="99"/>
      <c r="Z15" s="99"/>
      <c r="AA15" s="99"/>
      <c r="AB15" s="99"/>
      <c r="AY15" s="23"/>
    </row>
    <row r="16" spans="1:83" s="43" customFormat="1" ht="20.149999999999999" customHeight="1" thickTop="1" thickBot="1">
      <c r="A16" s="1342"/>
      <c r="B16" s="1561">
        <v>0</v>
      </c>
      <c r="C16" s="838"/>
      <c r="D16" s="839"/>
      <c r="E16" s="121"/>
      <c r="F16" s="121"/>
      <c r="G16" s="909" t="s">
        <v>1295</v>
      </c>
      <c r="H16" s="909"/>
      <c r="I16" s="909"/>
      <c r="J16" s="843"/>
      <c r="K16" s="843"/>
      <c r="L16" s="595" t="s">
        <v>1279</v>
      </c>
      <c r="M16" s="840" t="s">
        <v>1279</v>
      </c>
      <c r="N16" s="846"/>
      <c r="O16" s="126"/>
      <c r="P16" s="847"/>
      <c r="Q16" s="847"/>
      <c r="R16" s="126"/>
      <c r="S16" s="848"/>
      <c r="T16" s="848"/>
      <c r="U16" s="126"/>
      <c r="V16" s="848"/>
      <c r="W16" s="848"/>
      <c r="X16" s="126"/>
      <c r="Y16" s="848"/>
      <c r="Z16" s="848"/>
      <c r="AA16" s="849"/>
      <c r="AB16" s="850">
        <f>$B16</f>
        <v>0</v>
      </c>
      <c r="AC16" s="539" t="s">
        <v>1279</v>
      </c>
      <c r="AD16" s="456" t="s">
        <v>1279</v>
      </c>
      <c r="AE16" s="844" t="s">
        <v>1279</v>
      </c>
      <c r="AF16" s="500" t="s">
        <v>1279</v>
      </c>
      <c r="AG16" s="1767"/>
      <c r="AH16" s="851">
        <f>VLOOKUP($AF$8,'E4'!$C$16:$E$22,2,FALSE)</f>
        <v>88</v>
      </c>
      <c r="AI16" s="850">
        <f>$B16</f>
        <v>0</v>
      </c>
      <c r="AJ16" s="852"/>
      <c r="AK16" s="126"/>
      <c r="AL16" s="126"/>
      <c r="AM16" s="847"/>
      <c r="AN16" s="596"/>
      <c r="AO16" s="595"/>
      <c r="AP16" s="126"/>
      <c r="AQ16" s="847"/>
      <c r="AR16" s="847"/>
      <c r="AS16" s="847"/>
      <c r="AT16" s="458"/>
      <c r="AU16" s="850">
        <f>$B16</f>
        <v>0</v>
      </c>
      <c r="AV16" s="843" t="str">
        <f>IF(J16, J16,"")</f>
        <v/>
      </c>
      <c r="AW16" s="126"/>
      <c r="AX16" s="847"/>
      <c r="AY16" s="126"/>
      <c r="AZ16" s="847"/>
      <c r="BA16" s="126"/>
      <c r="BB16" s="847"/>
      <c r="BC16" s="847"/>
      <c r="BD16" s="847"/>
      <c r="BE16" s="456"/>
      <c r="BF16" s="11"/>
      <c r="BG16" s="853"/>
      <c r="BH16" s="850">
        <f>$B16</f>
        <v>0</v>
      </c>
      <c r="BI16" s="837" t="s">
        <v>1279</v>
      </c>
      <c r="BJ16" s="837" t="s">
        <v>1279</v>
      </c>
      <c r="BK16" s="126"/>
      <c r="BL16" s="847"/>
      <c r="BM16" s="850">
        <f>$B16</f>
        <v>0</v>
      </c>
      <c r="BN16" s="843">
        <f>IF(Algorithm="", "", $J16)</f>
        <v>0</v>
      </c>
      <c r="BO16" s="793" t="str">
        <f ca="1">IF(Algorithm = "", "", I3Ranking)</f>
        <v>High</v>
      </c>
      <c r="BP16" s="456">
        <f ca="1">IF(Algorithm="", "", I3Score)</f>
        <v>60</v>
      </c>
      <c r="BQ16" s="854" t="str">
        <f>IF(Algorithm="", "", IF(Standard, "TBD", "? Function(TBD)" ) )</f>
        <v>? Function(TBD)</v>
      </c>
      <c r="BR16" s="1556">
        <f>$B16</f>
        <v>0</v>
      </c>
      <c r="BS16"/>
      <c r="BT16"/>
      <c r="BU16"/>
      <c r="BV16"/>
      <c r="BW16"/>
      <c r="BX16"/>
      <c r="BY16"/>
      <c r="BZ16"/>
      <c r="CA16"/>
      <c r="CB16"/>
      <c r="CC16"/>
      <c r="CD16"/>
      <c r="CE16"/>
    </row>
    <row r="17" spans="1:82" s="1927" customFormat="1" ht="20.149999999999999" customHeight="1" thickTop="1" thickBot="1">
      <c r="A17" s="1342"/>
      <c r="B17" s="1928">
        <v>1</v>
      </c>
      <c r="C17" s="1912">
        <v>43320.569016203706</v>
      </c>
      <c r="D17" s="1913" t="s">
        <v>1756</v>
      </c>
      <c r="E17" s="1914" t="s">
        <v>2152</v>
      </c>
      <c r="F17" s="1914" t="s">
        <v>2055</v>
      </c>
      <c r="G17" s="1915" t="s">
        <v>2149</v>
      </c>
      <c r="H17" s="1915" t="s">
        <v>2150</v>
      </c>
      <c r="I17" s="1915" t="s">
        <v>1758</v>
      </c>
      <c r="J17" s="1913" t="s">
        <v>169</v>
      </c>
      <c r="K17" s="1913" t="s">
        <v>1685</v>
      </c>
      <c r="L17" s="1916" t="s">
        <v>41</v>
      </c>
      <c r="M17" s="1917" t="s">
        <v>15</v>
      </c>
      <c r="N17" s="1918" t="s">
        <v>1122</v>
      </c>
      <c r="O17" s="1913" t="s">
        <v>408</v>
      </c>
      <c r="P17" s="1913" t="s">
        <v>408</v>
      </c>
      <c r="Q17" s="1919" t="s">
        <v>408</v>
      </c>
      <c r="R17" s="1913" t="s">
        <v>408</v>
      </c>
      <c r="S17" s="1919" t="s">
        <v>408</v>
      </c>
      <c r="T17" s="1919" t="s">
        <v>408</v>
      </c>
      <c r="U17" s="1913" t="s">
        <v>408</v>
      </c>
      <c r="V17" s="1919" t="s">
        <v>408</v>
      </c>
      <c r="W17" s="1919" t="s">
        <v>408</v>
      </c>
      <c r="X17" s="1913" t="s">
        <v>130</v>
      </c>
      <c r="Y17" s="1919">
        <v>13</v>
      </c>
      <c r="Z17" s="1920">
        <v>13</v>
      </c>
      <c r="AA17" s="1921">
        <v>100</v>
      </c>
      <c r="AB17" s="1924">
        <f>$B17</f>
        <v>1</v>
      </c>
      <c r="AC17" s="1913"/>
      <c r="AD17" s="1913"/>
      <c r="AE17" s="1920" t="s">
        <v>680</v>
      </c>
      <c r="AF17" s="1920" t="s">
        <v>2006</v>
      </c>
      <c r="AG17" s="1922">
        <v>51</v>
      </c>
      <c r="AH17" s="1923">
        <v>100</v>
      </c>
      <c r="AI17" s="1924">
        <f>$B17</f>
        <v>1</v>
      </c>
      <c r="AJ17" s="1924" t="s">
        <v>1763</v>
      </c>
      <c r="AK17" s="1913" t="s">
        <v>129</v>
      </c>
      <c r="AL17" s="1913">
        <v>51</v>
      </c>
      <c r="AM17" s="1919">
        <v>100</v>
      </c>
      <c r="AN17" s="1925" t="s">
        <v>899</v>
      </c>
      <c r="AO17" s="1916" t="s">
        <v>916</v>
      </c>
      <c r="AP17" s="1913" t="s">
        <v>129</v>
      </c>
      <c r="AQ17" s="1913">
        <v>51</v>
      </c>
      <c r="AR17" s="1913">
        <v>100</v>
      </c>
      <c r="AS17" s="1923">
        <v>51</v>
      </c>
      <c r="AT17" s="1913">
        <v>100</v>
      </c>
      <c r="AU17" s="1981">
        <f>$B17</f>
        <v>1</v>
      </c>
      <c r="AV17" s="1913" t="str">
        <f>J17</f>
        <v>Non-Adversarial</v>
      </c>
      <c r="AW17" s="1913" t="s">
        <v>181</v>
      </c>
      <c r="AX17" s="1913" t="s">
        <v>176</v>
      </c>
      <c r="AY17" s="1913" t="s">
        <v>128</v>
      </c>
      <c r="AZ17" s="1913">
        <v>88</v>
      </c>
      <c r="BA17" s="1913" t="s">
        <v>129</v>
      </c>
      <c r="BB17" s="1913">
        <v>51</v>
      </c>
      <c r="BC17" s="1908">
        <v>88</v>
      </c>
      <c r="BD17" s="1909">
        <v>100</v>
      </c>
      <c r="BE17" s="1920" t="s">
        <v>1599</v>
      </c>
      <c r="BF17" s="1920">
        <v>46.2</v>
      </c>
      <c r="BG17" s="1921" t="s">
        <v>260</v>
      </c>
      <c r="BH17" s="1924">
        <f>$B17</f>
        <v>1</v>
      </c>
      <c r="BI17" s="1913" t="s">
        <v>349</v>
      </c>
      <c r="BJ17" s="1913" t="s">
        <v>2213</v>
      </c>
      <c r="BK17" s="1913" t="s">
        <v>129</v>
      </c>
      <c r="BL17" s="1913">
        <v>51</v>
      </c>
      <c r="BM17" s="1924">
        <f>$B17</f>
        <v>1</v>
      </c>
      <c r="BN17" s="1913" t="str">
        <f>IF(Algorithm="", "", $J17)</f>
        <v>Non-Adversarial</v>
      </c>
      <c r="BO17" s="1926" t="s">
        <v>1599</v>
      </c>
      <c r="BP17" s="1909">
        <v>45.3</v>
      </c>
      <c r="BQ17" s="1926" t="s">
        <v>260</v>
      </c>
      <c r="BR17" s="1947">
        <f>$B17</f>
        <v>1</v>
      </c>
    </row>
    <row r="18" spans="1:82" s="1927" customFormat="1" ht="20.149999999999999" customHeight="1" thickTop="1" thickBot="1">
      <c r="A18" s="1342"/>
      <c r="B18" s="1928">
        <v>2</v>
      </c>
      <c r="C18" s="1912">
        <v>43564.37298148148</v>
      </c>
      <c r="D18" s="1913" t="s">
        <v>211</v>
      </c>
      <c r="E18" s="1914" t="s">
        <v>2214</v>
      </c>
      <c r="F18" s="121" t="s">
        <v>212</v>
      </c>
      <c r="G18" s="1915" t="s">
        <v>2215</v>
      </c>
      <c r="H18" s="1915" t="s">
        <v>2216</v>
      </c>
      <c r="I18" s="1915" t="s">
        <v>1758</v>
      </c>
      <c r="J18" s="1913" t="s">
        <v>1</v>
      </c>
      <c r="K18" s="1913" t="s">
        <v>1685</v>
      </c>
      <c r="L18" s="1916" t="s">
        <v>1</v>
      </c>
      <c r="M18" s="1917" t="s">
        <v>7</v>
      </c>
      <c r="N18" s="1918" t="s">
        <v>1122</v>
      </c>
      <c r="O18" s="1913" t="s">
        <v>128</v>
      </c>
      <c r="P18" s="1913">
        <v>88</v>
      </c>
      <c r="Q18" s="1919">
        <v>100</v>
      </c>
      <c r="R18" s="1913" t="s">
        <v>128</v>
      </c>
      <c r="S18" s="1919">
        <v>88</v>
      </c>
      <c r="T18" s="1919">
        <v>100</v>
      </c>
      <c r="U18" s="1913" t="s">
        <v>128</v>
      </c>
      <c r="V18" s="1919">
        <v>88</v>
      </c>
      <c r="W18" s="1919">
        <v>100</v>
      </c>
      <c r="X18" s="1913" t="s">
        <v>408</v>
      </c>
      <c r="Y18" s="1919" t="s">
        <v>408</v>
      </c>
      <c r="Z18" s="1920">
        <v>88</v>
      </c>
      <c r="AA18" s="1921">
        <v>100</v>
      </c>
      <c r="AB18" s="1924">
        <f>$B18</f>
        <v>2</v>
      </c>
      <c r="AC18" s="1913" t="s">
        <v>528</v>
      </c>
      <c r="AD18" s="1913" t="s">
        <v>562</v>
      </c>
      <c r="AE18" s="1920" t="s">
        <v>176</v>
      </c>
      <c r="AF18" s="1920" t="s">
        <v>2004</v>
      </c>
      <c r="AG18" s="1922">
        <v>88</v>
      </c>
      <c r="AH18" s="1923">
        <v>100</v>
      </c>
      <c r="AI18" s="1924">
        <f>$B18</f>
        <v>2</v>
      </c>
      <c r="AJ18" s="1924" t="s">
        <v>2217</v>
      </c>
      <c r="AK18" s="1913" t="s">
        <v>128</v>
      </c>
      <c r="AL18" s="1913">
        <v>88</v>
      </c>
      <c r="AM18" s="1919">
        <v>100</v>
      </c>
      <c r="AN18" s="1925" t="s">
        <v>898</v>
      </c>
      <c r="AO18" s="1916" t="s">
        <v>904</v>
      </c>
      <c r="AP18" s="1913" t="s">
        <v>129</v>
      </c>
      <c r="AQ18" s="1913">
        <v>51</v>
      </c>
      <c r="AR18" s="1913">
        <v>100</v>
      </c>
      <c r="AS18" s="1923">
        <v>69.5</v>
      </c>
      <c r="AT18" s="1913">
        <v>100</v>
      </c>
      <c r="AU18" s="1981">
        <f>$B18</f>
        <v>2</v>
      </c>
      <c r="AV18" s="1913" t="str">
        <f>J18</f>
        <v>Adversarial</v>
      </c>
      <c r="AW18" s="1913" t="s">
        <v>128</v>
      </c>
      <c r="AX18" s="1913">
        <v>88</v>
      </c>
      <c r="AY18" s="1913"/>
      <c r="AZ18" s="1913" t="s">
        <v>176</v>
      </c>
      <c r="BA18" s="1913" t="s">
        <v>128</v>
      </c>
      <c r="BB18" s="1913">
        <v>88</v>
      </c>
      <c r="BC18" s="1908">
        <v>88</v>
      </c>
      <c r="BD18" s="1909">
        <v>100</v>
      </c>
      <c r="BE18" s="1920" t="s">
        <v>1601</v>
      </c>
      <c r="BF18" s="1920">
        <v>82.9</v>
      </c>
      <c r="BG18" s="1921" t="s">
        <v>261</v>
      </c>
      <c r="BH18" s="1924">
        <f>$B18</f>
        <v>2</v>
      </c>
      <c r="BI18" s="1913" t="s">
        <v>547</v>
      </c>
      <c r="BJ18" s="1913" t="s">
        <v>1277</v>
      </c>
      <c r="BK18" s="1913" t="s">
        <v>128</v>
      </c>
      <c r="BL18" s="1913">
        <v>88</v>
      </c>
      <c r="BM18" s="1924">
        <f>$B18</f>
        <v>2</v>
      </c>
      <c r="BN18" s="1913" t="str">
        <f>IF(Algorithm="", "", $J18)</f>
        <v>Adversarial</v>
      </c>
      <c r="BO18" s="1926" t="s">
        <v>261</v>
      </c>
      <c r="BP18" s="1909">
        <v>83.4</v>
      </c>
      <c r="BQ18" s="1926" t="s">
        <v>261</v>
      </c>
      <c r="BR18" s="1947">
        <f>$B18</f>
        <v>2</v>
      </c>
    </row>
    <row r="19" spans="1:82" s="1927" customFormat="1" ht="20.149999999999999" customHeight="1" thickTop="1" thickBot="1">
      <c r="A19" s="1342"/>
      <c r="B19" s="1928">
        <v>3</v>
      </c>
      <c r="C19" s="1912">
        <v>43564.381684490741</v>
      </c>
      <c r="D19" s="1913" t="s">
        <v>211</v>
      </c>
      <c r="E19" s="1914" t="s">
        <v>2218</v>
      </c>
      <c r="F19" s="121" t="s">
        <v>1248</v>
      </c>
      <c r="G19" s="1915" t="s">
        <v>2219</v>
      </c>
      <c r="H19" s="1915" t="s">
        <v>2220</v>
      </c>
      <c r="I19" s="1915" t="s">
        <v>1758</v>
      </c>
      <c r="J19" s="1913" t="s">
        <v>1</v>
      </c>
      <c r="K19" s="1913" t="s">
        <v>1684</v>
      </c>
      <c r="L19" s="1916" t="s">
        <v>1</v>
      </c>
      <c r="M19" s="1917" t="s">
        <v>1280</v>
      </c>
      <c r="N19" s="1918" t="s">
        <v>1122</v>
      </c>
      <c r="O19" s="1913" t="s">
        <v>128</v>
      </c>
      <c r="P19" s="1913">
        <v>88</v>
      </c>
      <c r="Q19" s="1919">
        <v>100</v>
      </c>
      <c r="R19" s="1913" t="s">
        <v>130</v>
      </c>
      <c r="S19" s="1919">
        <v>13</v>
      </c>
      <c r="T19" s="1919">
        <v>100</v>
      </c>
      <c r="U19" s="1913" t="s">
        <v>130</v>
      </c>
      <c r="V19" s="1919">
        <v>13</v>
      </c>
      <c r="W19" s="1919">
        <v>100</v>
      </c>
      <c r="X19" s="1913" t="s">
        <v>408</v>
      </c>
      <c r="Y19" s="1919" t="s">
        <v>408</v>
      </c>
      <c r="Z19" s="1920">
        <v>51.9</v>
      </c>
      <c r="AA19" s="1921">
        <v>100</v>
      </c>
      <c r="AB19" s="1924">
        <f>$B19</f>
        <v>3</v>
      </c>
      <c r="AC19" s="1913" t="s">
        <v>633</v>
      </c>
      <c r="AD19" s="1913" t="s">
        <v>636</v>
      </c>
      <c r="AE19" s="1920" t="s">
        <v>176</v>
      </c>
      <c r="AF19" s="1920" t="s">
        <v>2004</v>
      </c>
      <c r="AG19" s="1922">
        <v>88</v>
      </c>
      <c r="AH19" s="1923">
        <v>100</v>
      </c>
      <c r="AI19" s="1924">
        <f>$B19</f>
        <v>3</v>
      </c>
      <c r="AJ19" s="1924" t="s">
        <v>2217</v>
      </c>
      <c r="AK19" s="1913" t="s">
        <v>129</v>
      </c>
      <c r="AL19" s="1913">
        <v>51</v>
      </c>
      <c r="AM19" s="1919">
        <v>100</v>
      </c>
      <c r="AN19" s="1925" t="s">
        <v>898</v>
      </c>
      <c r="AO19" s="1916" t="s">
        <v>904</v>
      </c>
      <c r="AP19" s="1913" t="s">
        <v>129</v>
      </c>
      <c r="AQ19" s="1913">
        <v>51</v>
      </c>
      <c r="AR19" s="1913">
        <v>100</v>
      </c>
      <c r="AS19" s="1923">
        <v>51</v>
      </c>
      <c r="AT19" s="1913">
        <v>100</v>
      </c>
      <c r="AU19" s="1981">
        <f>$B19</f>
        <v>3</v>
      </c>
      <c r="AV19" s="1913" t="str">
        <f>J19</f>
        <v>Adversarial</v>
      </c>
      <c r="AW19" s="1913" t="s">
        <v>130</v>
      </c>
      <c r="AX19" s="1913">
        <v>13</v>
      </c>
      <c r="AY19" s="1913"/>
      <c r="AZ19" s="1913" t="s">
        <v>176</v>
      </c>
      <c r="BA19" s="1913" t="s">
        <v>128</v>
      </c>
      <c r="BB19" s="1913">
        <v>88</v>
      </c>
      <c r="BC19" s="1908">
        <v>13</v>
      </c>
      <c r="BD19" s="1909">
        <v>100</v>
      </c>
      <c r="BE19" s="1920" t="s">
        <v>260</v>
      </c>
      <c r="BF19" s="1920">
        <v>69.400000000000006</v>
      </c>
      <c r="BG19" s="1921" t="s">
        <v>260</v>
      </c>
      <c r="BH19" s="1924">
        <f>$B19</f>
        <v>3</v>
      </c>
      <c r="BI19" s="1913" t="s">
        <v>349</v>
      </c>
      <c r="BJ19" s="1913" t="s">
        <v>2221</v>
      </c>
      <c r="BK19" s="1913" t="s">
        <v>129</v>
      </c>
      <c r="BL19" s="1913">
        <v>51</v>
      </c>
      <c r="BM19" s="1924">
        <f>$B19</f>
        <v>3</v>
      </c>
      <c r="BN19" s="1913" t="str">
        <f>IF(Algorithm="", "", $J19)</f>
        <v>Adversarial</v>
      </c>
      <c r="BO19" s="1926" t="s">
        <v>260</v>
      </c>
      <c r="BP19" s="1909">
        <v>65</v>
      </c>
      <c r="BQ19" s="1926" t="s">
        <v>260</v>
      </c>
      <c r="BR19" s="1947">
        <f>$B19</f>
        <v>3</v>
      </c>
    </row>
    <row r="20" spans="1:82" ht="20.149999999999999" customHeight="1" thickTop="1" thickBot="1">
      <c r="A20" s="1340"/>
      <c r="B20" s="1562" t="s">
        <v>1276</v>
      </c>
      <c r="C20" s="124"/>
      <c r="D20" s="124"/>
      <c r="E20" s="124"/>
      <c r="F20" s="124"/>
      <c r="G20" s="124"/>
      <c r="H20" s="124"/>
      <c r="I20" s="124"/>
      <c r="J20" s="124"/>
      <c r="K20" s="124"/>
      <c r="L20" s="124"/>
      <c r="M20" s="124"/>
      <c r="N20" s="785"/>
      <c r="O20" s="124"/>
      <c r="P20" s="124"/>
      <c r="Q20" s="124"/>
      <c r="R20" s="124"/>
      <c r="S20" s="124"/>
      <c r="T20" s="124"/>
      <c r="U20" s="124"/>
      <c r="V20" s="124"/>
      <c r="W20" s="124"/>
      <c r="X20" s="124"/>
      <c r="Y20" s="124"/>
      <c r="Z20" s="124"/>
      <c r="AA20" s="124"/>
      <c r="AB20" s="124"/>
    </row>
    <row r="21" spans="1:82" s="246" customFormat="1" ht="20.149999999999999" customHeight="1" thickTop="1" thickBot="1">
      <c r="A21" s="1343" t="s">
        <v>1838</v>
      </c>
      <c r="B21" s="1559" t="s">
        <v>1681</v>
      </c>
      <c r="C21" s="1512" t="s">
        <v>1679</v>
      </c>
      <c r="D21" s="1513" t="s">
        <v>1680</v>
      </c>
      <c r="E21" s="1512" t="s">
        <v>210</v>
      </c>
      <c r="F21" s="1514" t="s">
        <v>1682</v>
      </c>
      <c r="G21" s="1552" t="s">
        <v>1762</v>
      </c>
      <c r="H21" s="1552" t="s">
        <v>1761</v>
      </c>
      <c r="I21" s="1552" t="s">
        <v>1757</v>
      </c>
      <c r="J21" s="1515" t="s">
        <v>170</v>
      </c>
      <c r="K21" s="1515" t="s">
        <v>1760</v>
      </c>
      <c r="L21" s="1585" t="s">
        <v>1819</v>
      </c>
      <c r="M21" s="1585" t="s">
        <v>1820</v>
      </c>
      <c r="N21" s="1516" t="s">
        <v>1728</v>
      </c>
      <c r="O21" s="1517" t="s">
        <v>133</v>
      </c>
      <c r="P21" s="1518" t="s">
        <v>2066</v>
      </c>
      <c r="Q21" s="1519" t="s">
        <v>1690</v>
      </c>
      <c r="R21" s="1520" t="s">
        <v>147</v>
      </c>
      <c r="S21" s="1518" t="s">
        <v>2067</v>
      </c>
      <c r="T21" s="1519" t="s">
        <v>1689</v>
      </c>
      <c r="U21" s="1520" t="s">
        <v>150</v>
      </c>
      <c r="V21" s="1518" t="s">
        <v>2068</v>
      </c>
      <c r="W21" s="1519" t="s">
        <v>1691</v>
      </c>
      <c r="X21" s="1520" t="s">
        <v>171</v>
      </c>
      <c r="Y21" s="1930" t="s">
        <v>2065</v>
      </c>
      <c r="Z21" s="1888" t="s">
        <v>2014</v>
      </c>
      <c r="AA21" s="1891" t="s">
        <v>2014</v>
      </c>
      <c r="AB21" s="1511" t="s">
        <v>209</v>
      </c>
      <c r="AC21" s="628" t="s">
        <v>929</v>
      </c>
      <c r="AD21" s="628" t="s">
        <v>930</v>
      </c>
      <c r="AE21" s="1521" t="s">
        <v>1998</v>
      </c>
      <c r="AF21" s="1543" t="s">
        <v>2098</v>
      </c>
      <c r="AG21" s="1888" t="s">
        <v>2069</v>
      </c>
      <c r="AH21" s="1887" t="s">
        <v>2070</v>
      </c>
      <c r="AI21" s="1522" t="s">
        <v>209</v>
      </c>
      <c r="AJ21" s="1523" t="s">
        <v>1302</v>
      </c>
      <c r="AK21" s="472" t="s">
        <v>2014</v>
      </c>
      <c r="AL21" s="472" t="s">
        <v>198</v>
      </c>
      <c r="AM21" s="472" t="s">
        <v>2133</v>
      </c>
      <c r="AN21" s="1524" t="s">
        <v>925</v>
      </c>
      <c r="AO21" s="1525" t="s">
        <v>924</v>
      </c>
      <c r="AP21" s="472" t="s">
        <v>198</v>
      </c>
      <c r="AQ21" s="472" t="s">
        <v>198</v>
      </c>
      <c r="AR21" s="472" t="s">
        <v>2140</v>
      </c>
      <c r="AS21" s="1886" t="s">
        <v>2014</v>
      </c>
      <c r="AT21" s="1886" t="s">
        <v>198</v>
      </c>
      <c r="AU21" s="1785" t="s">
        <v>209</v>
      </c>
      <c r="AV21" s="1527" t="s">
        <v>170</v>
      </c>
      <c r="AW21" s="1517" t="s">
        <v>1012</v>
      </c>
      <c r="AX21" s="1959" t="s">
        <v>2071</v>
      </c>
      <c r="AY21" s="1517" t="s">
        <v>1764</v>
      </c>
      <c r="AZ21" s="1528" t="s">
        <v>2072</v>
      </c>
      <c r="BA21" s="1517" t="s">
        <v>1014</v>
      </c>
      <c r="BB21" s="1528" t="s">
        <v>938</v>
      </c>
      <c r="BC21" s="1888" t="s">
        <v>198</v>
      </c>
      <c r="BD21" s="1891" t="s">
        <v>2140</v>
      </c>
      <c r="BE21" s="1529" t="s">
        <v>1749</v>
      </c>
      <c r="BF21" s="1530" t="s">
        <v>1750</v>
      </c>
      <c r="BG21" s="1530" t="s">
        <v>1751</v>
      </c>
      <c r="BH21" s="1522" t="s">
        <v>1681</v>
      </c>
      <c r="BI21" s="1529" t="s">
        <v>993</v>
      </c>
      <c r="BJ21" s="1529" t="s">
        <v>2073</v>
      </c>
      <c r="BK21" s="1520" t="s">
        <v>2074</v>
      </c>
      <c r="BL21" s="1518" t="s">
        <v>2075</v>
      </c>
      <c r="BM21" s="1526" t="s">
        <v>1681</v>
      </c>
      <c r="BN21" s="1527" t="s">
        <v>170</v>
      </c>
      <c r="BO21" s="1893" t="s">
        <v>2062</v>
      </c>
      <c r="BP21" s="1673" t="s">
        <v>2076</v>
      </c>
      <c r="BQ21" s="1673" t="s">
        <v>2063</v>
      </c>
      <c r="BR21" s="1555" t="s">
        <v>1681</v>
      </c>
    </row>
    <row r="22" spans="1:82" ht="20.149999999999999" customHeight="1" thickTop="1" thickBot="1">
      <c r="A22" s="1342" t="s">
        <v>2200</v>
      </c>
      <c r="B22" s="2047" t="s">
        <v>897</v>
      </c>
      <c r="C22" s="2047"/>
      <c r="D22" s="2047"/>
      <c r="E22" s="2047"/>
      <c r="F22" s="2047"/>
      <c r="G22" s="2047"/>
      <c r="H22" s="2047"/>
      <c r="I22" s="2047"/>
      <c r="J22" s="2047"/>
      <c r="K22" s="2047"/>
      <c r="L22" s="2047"/>
      <c r="M22" s="2047"/>
      <c r="N22" s="2047"/>
      <c r="O22" s="2047"/>
      <c r="P22" s="2047"/>
      <c r="Q22" s="2047"/>
      <c r="R22" s="2047"/>
      <c r="S22" s="2047"/>
      <c r="T22" s="2047"/>
      <c r="U22" s="2047"/>
      <c r="V22" s="2047"/>
      <c r="W22" s="2047"/>
      <c r="X22" s="2047"/>
      <c r="Y22" s="2047"/>
      <c r="Z22" s="2047"/>
      <c r="AA22" s="2047"/>
      <c r="AB22" s="2047"/>
      <c r="AC22" s="2047"/>
      <c r="AD22" s="2047"/>
      <c r="AE22" s="2047"/>
      <c r="AF22" s="2047"/>
      <c r="AG22" s="2047"/>
      <c r="AH22" s="2047"/>
      <c r="AI22" s="2047"/>
      <c r="AJ22" s="2047"/>
      <c r="AK22" s="2047"/>
      <c r="AL22" s="2047"/>
      <c r="AM22" s="2047"/>
      <c r="AN22" s="2047"/>
      <c r="AO22" s="2047"/>
      <c r="AP22" s="2047"/>
      <c r="AQ22" s="2047"/>
      <c r="AR22" s="2047"/>
      <c r="AS22" s="2047"/>
      <c r="AT22" s="2047"/>
      <c r="AU22" s="2047"/>
      <c r="AV22" s="2047"/>
      <c r="AW22" s="2047"/>
      <c r="AX22" s="2047"/>
      <c r="AY22" s="2047"/>
      <c r="AZ22" s="2047"/>
      <c r="BA22" s="2047"/>
      <c r="BB22" s="2047"/>
      <c r="BC22" s="2047"/>
      <c r="BD22" s="2047"/>
      <c r="BE22" s="2047"/>
      <c r="BF22" s="2047"/>
      <c r="BG22" s="2047"/>
      <c r="BH22" s="2047"/>
      <c r="BI22" s="2047"/>
      <c r="BJ22" s="2047"/>
      <c r="BK22" s="2047"/>
      <c r="BL22" s="2047"/>
      <c r="BM22" s="2047"/>
      <c r="BN22" s="2047"/>
      <c r="BO22" s="2047"/>
      <c r="BP22" s="2047"/>
      <c r="BQ22" s="2047"/>
      <c r="BR22" s="2048"/>
    </row>
    <row r="23" spans="1:82" s="43" customFormat="1" ht="20.149999999999999" customHeight="1" thickTop="1">
      <c r="A23" s="1963">
        <v>1</v>
      </c>
      <c r="B23"/>
      <c r="C23"/>
      <c r="D23"/>
      <c r="E23"/>
      <c r="F23"/>
      <c r="G23"/>
      <c r="H23"/>
      <c r="I23"/>
      <c r="J23"/>
      <c r="K23"/>
      <c r="L23"/>
      <c r="M23"/>
      <c r="N23"/>
      <c r="O23"/>
      <c r="P23"/>
      <c r="Q23"/>
      <c r="R23"/>
      <c r="S23"/>
      <c r="T23"/>
      <c r="U23"/>
      <c r="V23"/>
      <c r="W23"/>
      <c r="X23"/>
      <c r="Y23"/>
      <c r="Z23"/>
      <c r="AA23"/>
      <c r="AB23"/>
      <c r="AC23"/>
      <c r="AD23"/>
      <c r="AE23"/>
      <c r="AF23"/>
      <c r="AG23"/>
      <c r="AH23"/>
      <c r="AI23"/>
      <c r="AJ23"/>
      <c r="AK23"/>
      <c r="AL23"/>
      <c r="AM23"/>
      <c r="AN23"/>
      <c r="AO23"/>
      <c r="AP23"/>
      <c r="AQ23"/>
      <c r="AR23"/>
      <c r="AS23"/>
      <c r="AT23"/>
      <c r="AU23"/>
      <c r="AV23"/>
      <c r="AW23"/>
      <c r="AX23"/>
      <c r="AY23"/>
      <c r="AZ23"/>
      <c r="BA23"/>
      <c r="BB23"/>
      <c r="BC23"/>
      <c r="BD23"/>
      <c r="BE23"/>
      <c r="BF23"/>
      <c r="BG23"/>
      <c r="BH23"/>
      <c r="BI23"/>
      <c r="BJ23"/>
      <c r="BK23"/>
      <c r="BL23"/>
      <c r="BM23"/>
      <c r="BN23"/>
      <c r="BO23"/>
      <c r="BP23"/>
      <c r="BQ23"/>
      <c r="BR23"/>
      <c r="BS23" s="1964">
        <v>1</v>
      </c>
      <c r="BT23"/>
      <c r="BU23"/>
      <c r="BV23"/>
      <c r="BW23"/>
      <c r="BX23"/>
      <c r="BY23"/>
      <c r="BZ23"/>
      <c r="CA23"/>
      <c r="CB23"/>
      <c r="CC23"/>
      <c r="CD23"/>
    </row>
    <row r="24" spans="1:82" s="43" customFormat="1" ht="20.149999999999999" customHeight="1">
      <c r="A24" s="1964">
        <f>1+A23</f>
        <v>2</v>
      </c>
      <c r="B24"/>
      <c r="C24"/>
      <c r="D24"/>
      <c r="E24"/>
      <c r="F24"/>
      <c r="G24"/>
      <c r="H24"/>
      <c r="I24"/>
      <c r="J24"/>
      <c r="K24"/>
      <c r="L24"/>
      <c r="M24"/>
      <c r="N24"/>
      <c r="O24"/>
      <c r="P24"/>
      <c r="Q24"/>
      <c r="R24"/>
      <c r="S24"/>
      <c r="T24"/>
      <c r="U24"/>
      <c r="V24"/>
      <c r="W24"/>
      <c r="X24"/>
      <c r="Y24"/>
      <c r="Z24"/>
      <c r="AA24"/>
      <c r="AB24"/>
      <c r="AC24"/>
      <c r="AD24"/>
      <c r="AE24"/>
      <c r="AF24"/>
      <c r="AG24"/>
      <c r="AH24"/>
      <c r="AI24"/>
      <c r="AJ24"/>
      <c r="AK24"/>
      <c r="AL24"/>
      <c r="AM24"/>
      <c r="AN24"/>
      <c r="AO24"/>
      <c r="AP24"/>
      <c r="AQ24"/>
      <c r="AR24"/>
      <c r="AS24"/>
      <c r="AT24"/>
      <c r="AU24"/>
      <c r="AV24"/>
      <c r="AW24"/>
      <c r="AX24"/>
      <c r="AY24"/>
      <c r="AZ24"/>
      <c r="BA24"/>
      <c r="BB24"/>
      <c r="BC24"/>
      <c r="BD24"/>
      <c r="BE24"/>
      <c r="BF24"/>
      <c r="BG24"/>
      <c r="BH24"/>
      <c r="BI24"/>
      <c r="BJ24"/>
      <c r="BK24"/>
      <c r="BL24"/>
      <c r="BM24"/>
      <c r="BN24"/>
      <c r="BO24"/>
      <c r="BP24"/>
      <c r="BQ24"/>
      <c r="BR24"/>
      <c r="BS24" s="1964">
        <f>1+BS23</f>
        <v>2</v>
      </c>
      <c r="BT24"/>
      <c r="BU24"/>
      <c r="BV24"/>
      <c r="BW24"/>
      <c r="BX24"/>
      <c r="BY24"/>
      <c r="BZ24"/>
      <c r="CA24"/>
      <c r="CB24"/>
      <c r="CC24"/>
      <c r="CD24"/>
    </row>
    <row r="25" spans="1:82" ht="20.149999999999999" customHeight="1">
      <c r="A25" s="1964">
        <f t="shared" ref="A25:A42" si="0">1+A24</f>
        <v>3</v>
      </c>
      <c r="B25"/>
      <c r="S25"/>
      <c r="T25"/>
      <c r="U25"/>
      <c r="BR25"/>
      <c r="BS25" s="1964">
        <f t="shared" ref="BS25:BS42" si="1">1+BS24</f>
        <v>3</v>
      </c>
    </row>
    <row r="26" spans="1:82" ht="20.149999999999999" customHeight="1">
      <c r="A26" s="1964">
        <f t="shared" si="0"/>
        <v>4</v>
      </c>
      <c r="B26"/>
      <c r="S26"/>
      <c r="T26"/>
      <c r="U26"/>
      <c r="BR26"/>
      <c r="BS26" s="1964">
        <f t="shared" si="1"/>
        <v>4</v>
      </c>
    </row>
    <row r="27" spans="1:82" ht="20.149999999999999" customHeight="1">
      <c r="A27" s="1964">
        <f t="shared" si="0"/>
        <v>5</v>
      </c>
      <c r="B27"/>
      <c r="S27"/>
      <c r="T27"/>
      <c r="U27"/>
      <c r="BR27"/>
      <c r="BS27" s="1964">
        <f t="shared" si="1"/>
        <v>5</v>
      </c>
    </row>
    <row r="28" spans="1:82" s="1860" customFormat="1" ht="20.149999999999999" customHeight="1">
      <c r="A28" s="1964">
        <f t="shared" si="0"/>
        <v>6</v>
      </c>
      <c r="B28"/>
      <c r="C28"/>
      <c r="D28"/>
      <c r="E28"/>
      <c r="F28"/>
      <c r="G28"/>
      <c r="H28"/>
      <c r="I28"/>
      <c r="J28"/>
      <c r="K28"/>
      <c r="L28"/>
      <c r="M28"/>
      <c r="N28"/>
      <c r="O28"/>
      <c r="P28"/>
      <c r="Q28"/>
      <c r="R28"/>
      <c r="S28"/>
      <c r="T28"/>
      <c r="U28"/>
      <c r="V28"/>
      <c r="W28"/>
      <c r="X28"/>
      <c r="Y28"/>
      <c r="Z28"/>
      <c r="AA28"/>
      <c r="AB28"/>
      <c r="AC28"/>
      <c r="AD28"/>
      <c r="AE28"/>
      <c r="AF28"/>
      <c r="AG28"/>
      <c r="AH28"/>
      <c r="AI28"/>
      <c r="AJ28"/>
      <c r="AK28"/>
      <c r="AL28"/>
      <c r="AM28"/>
      <c r="AN28"/>
      <c r="AO28"/>
      <c r="AP28"/>
      <c r="AQ28"/>
      <c r="AR28"/>
      <c r="AS28"/>
      <c r="AT28"/>
      <c r="AU28"/>
      <c r="AV28"/>
      <c r="AW28"/>
      <c r="AX28"/>
      <c r="AY28"/>
      <c r="AZ28"/>
      <c r="BA28"/>
      <c r="BB28"/>
      <c r="BC28"/>
      <c r="BD28"/>
      <c r="BE28"/>
      <c r="BF28"/>
      <c r="BG28"/>
      <c r="BH28"/>
      <c r="BI28"/>
      <c r="BJ28"/>
      <c r="BK28"/>
      <c r="BL28"/>
      <c r="BM28"/>
      <c r="BN28"/>
      <c r="BO28"/>
      <c r="BP28"/>
      <c r="BQ28"/>
      <c r="BR28"/>
      <c r="BS28" s="1964">
        <f t="shared" si="1"/>
        <v>6</v>
      </c>
    </row>
    <row r="29" spans="1:82" ht="20.149999999999999" customHeight="1">
      <c r="A29" s="1964">
        <f t="shared" si="0"/>
        <v>7</v>
      </c>
      <c r="B29"/>
      <c r="S29"/>
      <c r="T29"/>
      <c r="U29"/>
      <c r="BR29"/>
      <c r="BS29" s="1964">
        <f t="shared" si="1"/>
        <v>7</v>
      </c>
    </row>
    <row r="30" spans="1:82" ht="20.149999999999999" customHeight="1">
      <c r="A30" s="1964">
        <f t="shared" si="0"/>
        <v>8</v>
      </c>
      <c r="B30"/>
      <c r="S30"/>
      <c r="T30"/>
      <c r="U30"/>
      <c r="BR30"/>
      <c r="BS30" s="1964">
        <f t="shared" si="1"/>
        <v>8</v>
      </c>
    </row>
    <row r="31" spans="1:82" ht="20.149999999999999" customHeight="1">
      <c r="A31" s="1964">
        <f t="shared" si="0"/>
        <v>9</v>
      </c>
      <c r="B31"/>
      <c r="S31"/>
      <c r="T31"/>
      <c r="U31"/>
      <c r="BR31"/>
      <c r="BS31" s="1964">
        <f t="shared" si="1"/>
        <v>9</v>
      </c>
    </row>
    <row r="32" spans="1:82" ht="20.149999999999999" customHeight="1">
      <c r="A32" s="1964">
        <f t="shared" si="0"/>
        <v>10</v>
      </c>
      <c r="B32"/>
      <c r="S32"/>
      <c r="T32"/>
      <c r="U32"/>
      <c r="BR32"/>
      <c r="BS32" s="1964">
        <f t="shared" si="1"/>
        <v>10</v>
      </c>
    </row>
    <row r="33" spans="1:71" ht="20.149999999999999" customHeight="1">
      <c r="A33" s="1964">
        <f t="shared" si="0"/>
        <v>11</v>
      </c>
      <c r="B33"/>
      <c r="S33"/>
      <c r="T33"/>
      <c r="U33"/>
      <c r="BR33"/>
      <c r="BS33" s="1964">
        <f t="shared" si="1"/>
        <v>11</v>
      </c>
    </row>
    <row r="34" spans="1:71" ht="20.149999999999999" customHeight="1">
      <c r="A34" s="1964">
        <f t="shared" si="0"/>
        <v>12</v>
      </c>
      <c r="B34"/>
      <c r="S34"/>
      <c r="T34"/>
      <c r="U34"/>
      <c r="BR34"/>
      <c r="BS34" s="1964">
        <f t="shared" si="1"/>
        <v>12</v>
      </c>
    </row>
    <row r="35" spans="1:71" ht="20.149999999999999" customHeight="1">
      <c r="A35" s="1964">
        <f t="shared" si="0"/>
        <v>13</v>
      </c>
      <c r="B35"/>
      <c r="S35"/>
      <c r="T35"/>
      <c r="U35"/>
      <c r="BR35"/>
      <c r="BS35" s="1964">
        <f t="shared" si="1"/>
        <v>13</v>
      </c>
    </row>
    <row r="36" spans="1:71" ht="20.149999999999999" customHeight="1">
      <c r="A36" s="1964">
        <f t="shared" si="0"/>
        <v>14</v>
      </c>
      <c r="B36"/>
      <c r="S36"/>
      <c r="T36"/>
      <c r="U36"/>
      <c r="BR36"/>
      <c r="BS36" s="1964">
        <f t="shared" si="1"/>
        <v>14</v>
      </c>
    </row>
    <row r="37" spans="1:71" ht="20.149999999999999" customHeight="1">
      <c r="A37" s="1964">
        <f t="shared" si="0"/>
        <v>15</v>
      </c>
      <c r="B37"/>
      <c r="S37"/>
      <c r="T37"/>
      <c r="U37"/>
      <c r="BR37"/>
      <c r="BS37" s="1964">
        <f t="shared" si="1"/>
        <v>15</v>
      </c>
    </row>
    <row r="38" spans="1:71" ht="20.149999999999999" customHeight="1">
      <c r="A38" s="1964">
        <f t="shared" si="0"/>
        <v>16</v>
      </c>
      <c r="B38"/>
      <c r="S38"/>
      <c r="T38"/>
      <c r="U38"/>
      <c r="BR38"/>
      <c r="BS38" s="1964">
        <f t="shared" si="1"/>
        <v>16</v>
      </c>
    </row>
    <row r="39" spans="1:71" ht="20.149999999999999" customHeight="1">
      <c r="A39" s="1964">
        <f t="shared" si="0"/>
        <v>17</v>
      </c>
      <c r="B39"/>
      <c r="S39"/>
      <c r="T39"/>
      <c r="U39"/>
      <c r="BR39"/>
      <c r="BS39" s="1964">
        <f t="shared" si="1"/>
        <v>17</v>
      </c>
    </row>
    <row r="40" spans="1:71" ht="20.149999999999999" customHeight="1">
      <c r="A40" s="1964">
        <f t="shared" si="0"/>
        <v>18</v>
      </c>
      <c r="B40"/>
      <c r="S40"/>
      <c r="T40"/>
      <c r="U40"/>
      <c r="BR40"/>
      <c r="BS40" s="1964">
        <f t="shared" si="1"/>
        <v>18</v>
      </c>
    </row>
    <row r="41" spans="1:71" s="43" customFormat="1" ht="20.149999999999999" customHeight="1">
      <c r="A41" s="1964">
        <f t="shared" si="0"/>
        <v>19</v>
      </c>
      <c r="B41"/>
      <c r="C41"/>
      <c r="D41"/>
      <c r="E41"/>
      <c r="F41"/>
      <c r="G41"/>
      <c r="H41"/>
      <c r="I41"/>
      <c r="J41"/>
      <c r="K41"/>
      <c r="L41"/>
      <c r="M41"/>
      <c r="N41"/>
      <c r="O41"/>
      <c r="P41"/>
      <c r="Q41"/>
      <c r="R41"/>
      <c r="S41"/>
      <c r="T41"/>
      <c r="U41"/>
      <c r="V41"/>
      <c r="W41"/>
      <c r="X41"/>
      <c r="Y41"/>
      <c r="Z41"/>
      <c r="AA41"/>
      <c r="AB41"/>
      <c r="AC41"/>
      <c r="AD41"/>
      <c r="AE41"/>
      <c r="AF41"/>
      <c r="AG41"/>
      <c r="AH41"/>
      <c r="AI41"/>
      <c r="AJ41"/>
      <c r="AK41"/>
      <c r="AL41"/>
      <c r="AM41"/>
      <c r="AN41"/>
      <c r="AO41"/>
      <c r="AP41"/>
      <c r="AQ41"/>
      <c r="AR41"/>
      <c r="AS41"/>
      <c r="AT41"/>
      <c r="AU41"/>
      <c r="AV41"/>
      <c r="AW41"/>
      <c r="AX41"/>
      <c r="AY41"/>
      <c r="AZ41"/>
      <c r="BA41"/>
      <c r="BB41"/>
      <c r="BC41"/>
      <c r="BD41"/>
      <c r="BE41"/>
      <c r="BF41"/>
      <c r="BG41"/>
      <c r="BH41"/>
      <c r="BI41"/>
      <c r="BJ41"/>
      <c r="BK41"/>
      <c r="BL41"/>
      <c r="BM41"/>
      <c r="BN41"/>
      <c r="BO41"/>
      <c r="BP41"/>
      <c r="BQ41"/>
      <c r="BR41"/>
      <c r="BS41" s="1964">
        <f t="shared" si="1"/>
        <v>19</v>
      </c>
    </row>
    <row r="42" spans="1:71" ht="20.149999999999999" customHeight="1" thickBot="1">
      <c r="A42" s="1965">
        <f t="shared" si="0"/>
        <v>20</v>
      </c>
      <c r="B42"/>
      <c r="S42"/>
      <c r="T42"/>
      <c r="U42"/>
      <c r="BR42"/>
      <c r="BS42" s="1964">
        <f t="shared" si="1"/>
        <v>20</v>
      </c>
    </row>
    <row r="43" spans="1:71" ht="20.149999999999999" customHeight="1" thickTop="1" thickBot="1">
      <c r="B43" s="1560"/>
      <c r="C43" s="798" t="s">
        <v>2198</v>
      </c>
      <c r="D43" s="799"/>
      <c r="E43" s="799"/>
      <c r="F43" s="799"/>
      <c r="G43" s="798" t="s">
        <v>935</v>
      </c>
      <c r="H43" s="798"/>
      <c r="I43" s="798"/>
      <c r="J43" s="799"/>
      <c r="K43" s="799"/>
      <c r="L43" s="799"/>
      <c r="M43" s="799"/>
      <c r="N43" s="799"/>
      <c r="O43" s="799"/>
      <c r="P43" s="799"/>
      <c r="Q43" s="799"/>
      <c r="R43" s="799"/>
      <c r="S43" s="1960"/>
      <c r="T43" s="1960"/>
      <c r="U43" s="1960"/>
      <c r="V43" s="799"/>
      <c r="W43" s="799"/>
      <c r="X43" s="799"/>
      <c r="Y43" s="799"/>
      <c r="Z43" s="799"/>
      <c r="AA43" s="799"/>
      <c r="AB43" s="799"/>
      <c r="AC43" s="799"/>
      <c r="AD43" s="799"/>
      <c r="AE43" s="799"/>
      <c r="AF43" s="2040"/>
      <c r="AG43" s="2040"/>
      <c r="AH43" s="2040"/>
      <c r="AI43" s="799"/>
      <c r="AJ43" s="799"/>
      <c r="AK43" s="799"/>
      <c r="AL43" s="799"/>
      <c r="AM43" s="799"/>
      <c r="AN43" s="799"/>
      <c r="AO43" s="799"/>
      <c r="AP43" s="799"/>
      <c r="AQ43" s="799"/>
      <c r="AR43" s="799"/>
      <c r="AS43" s="799"/>
      <c r="AT43" s="799"/>
      <c r="AU43" s="799"/>
      <c r="AV43" s="799"/>
      <c r="AW43" s="799"/>
      <c r="AX43" s="799"/>
      <c r="AY43" s="799"/>
      <c r="AZ43" s="799"/>
      <c r="BA43" s="799"/>
      <c r="BB43" s="799"/>
      <c r="BC43" s="799"/>
      <c r="BD43" s="799"/>
      <c r="BE43" s="799"/>
      <c r="BF43" s="799"/>
      <c r="BG43" s="799"/>
      <c r="BH43" s="799"/>
      <c r="BI43" s="799"/>
      <c r="BJ43" s="799"/>
      <c r="BK43" s="799"/>
      <c r="BL43" s="799"/>
      <c r="BM43" s="799"/>
      <c r="BN43" s="799"/>
      <c r="BO43" s="799"/>
      <c r="BP43" s="799"/>
      <c r="BQ43" s="1961"/>
      <c r="BR43" s="1962"/>
    </row>
    <row r="44" spans="1:71" ht="15" thickTop="1">
      <c r="AP44" s="75"/>
      <c r="BQ44" s="1554"/>
      <c r="BR44"/>
    </row>
    <row r="45" spans="1:71">
      <c r="AP45" s="75"/>
      <c r="BQ45" s="1554"/>
      <c r="BR45"/>
    </row>
    <row r="46" spans="1:71">
      <c r="AP46" s="75"/>
      <c r="BQ46" s="1554"/>
      <c r="BR46"/>
    </row>
    <row r="47" spans="1:71">
      <c r="AP47" s="75"/>
      <c r="BQ47" s="1554"/>
      <c r="BR47"/>
    </row>
    <row r="48" spans="1:71">
      <c r="AP48" s="75"/>
      <c r="BQ48" s="1554"/>
      <c r="BR48"/>
    </row>
    <row r="49" spans="42:70">
      <c r="AP49" s="75"/>
      <c r="BQ49" s="1554"/>
      <c r="BR49"/>
    </row>
    <row r="50" spans="42:70">
      <c r="AP50" s="75"/>
      <c r="BQ50" s="1554"/>
      <c r="BR50"/>
    </row>
    <row r="51" spans="42:70">
      <c r="AP51" s="75"/>
      <c r="BQ51" s="1554"/>
      <c r="BR51"/>
    </row>
    <row r="52" spans="42:70">
      <c r="AP52" s="75"/>
      <c r="BQ52" s="1554"/>
      <c r="BR52"/>
    </row>
    <row r="53" spans="42:70">
      <c r="AP53" s="75"/>
      <c r="BQ53" s="1554"/>
      <c r="BR53"/>
    </row>
    <row r="54" spans="42:70">
      <c r="AP54" s="75"/>
      <c r="BQ54" s="1554"/>
      <c r="BR54"/>
    </row>
    <row r="55" spans="42:70">
      <c r="AP55" s="75"/>
      <c r="BQ55" s="1554"/>
      <c r="BR55"/>
    </row>
    <row r="56" spans="42:70">
      <c r="AP56" s="75"/>
      <c r="BQ56" s="1554"/>
      <c r="BR56"/>
    </row>
    <row r="57" spans="42:70">
      <c r="AP57" s="75"/>
      <c r="BQ57" s="1554"/>
      <c r="BR57"/>
    </row>
    <row r="58" spans="42:70">
      <c r="AP58" s="75"/>
      <c r="BQ58" s="1554"/>
      <c r="BR58"/>
    </row>
    <row r="59" spans="42:70">
      <c r="AP59" s="75"/>
      <c r="BQ59" s="1554"/>
      <c r="BR59"/>
    </row>
    <row r="60" spans="42:70">
      <c r="AP60" s="75"/>
      <c r="BQ60" s="1554"/>
      <c r="BR60"/>
    </row>
    <row r="61" spans="42:70">
      <c r="AP61" s="75"/>
      <c r="BQ61" s="1554"/>
      <c r="BR61"/>
    </row>
    <row r="62" spans="42:70">
      <c r="AP62" s="75"/>
      <c r="BQ62" s="1554"/>
      <c r="BR62"/>
    </row>
    <row r="63" spans="42:70">
      <c r="AP63" s="75"/>
      <c r="BQ63" s="1554"/>
      <c r="BR63"/>
    </row>
    <row r="64" spans="42:70">
      <c r="AP64" s="75"/>
      <c r="BQ64" s="1554"/>
      <c r="BR64"/>
    </row>
    <row r="65" spans="42:70">
      <c r="AP65" s="75"/>
      <c r="BQ65" s="1554"/>
      <c r="BR65"/>
    </row>
    <row r="66" spans="42:70">
      <c r="AP66" s="75"/>
      <c r="BQ66" s="1554"/>
      <c r="BR66"/>
    </row>
    <row r="67" spans="42:70">
      <c r="AP67" s="75"/>
      <c r="BQ67" s="1554"/>
      <c r="BR67"/>
    </row>
    <row r="68" spans="42:70">
      <c r="AP68" s="75"/>
      <c r="BQ68" s="1554"/>
      <c r="BR68"/>
    </row>
    <row r="69" spans="42:70">
      <c r="AP69" s="75"/>
      <c r="BQ69" s="1554"/>
      <c r="BR69"/>
    </row>
    <row r="70" spans="42:70">
      <c r="AP70" s="75"/>
      <c r="BQ70" s="1554"/>
      <c r="BR70"/>
    </row>
    <row r="71" spans="42:70">
      <c r="AP71" s="75"/>
      <c r="BQ71" s="1554"/>
      <c r="BR71"/>
    </row>
    <row r="72" spans="42:70">
      <c r="AP72" s="75"/>
      <c r="BQ72" s="1554"/>
      <c r="BR72"/>
    </row>
    <row r="73" spans="42:70">
      <c r="AP73" s="75"/>
      <c r="BQ73" s="1554"/>
      <c r="BR73"/>
    </row>
    <row r="74" spans="42:70">
      <c r="BQ74" s="1554"/>
      <c r="BR74"/>
    </row>
  </sheetData>
  <dataConsolidate link="1"/>
  <mergeCells count="40">
    <mergeCell ref="AF43:AH43"/>
    <mergeCell ref="BP6:BQ6"/>
    <mergeCell ref="BE6:BG6"/>
    <mergeCell ref="BI6:BJ6"/>
    <mergeCell ref="C15:F15"/>
    <mergeCell ref="B22:BR22"/>
    <mergeCell ref="AY6:AZ6"/>
    <mergeCell ref="L6:M6"/>
    <mergeCell ref="D12:F12"/>
    <mergeCell ref="G12:H12"/>
    <mergeCell ref="BK6:BL6"/>
    <mergeCell ref="BA6:BB6"/>
    <mergeCell ref="AW3:AX5"/>
    <mergeCell ref="AW6:AX6"/>
    <mergeCell ref="AY3:AZ5"/>
    <mergeCell ref="B3:J3"/>
    <mergeCell ref="B4:J4"/>
    <mergeCell ref="B5:J5"/>
    <mergeCell ref="B6:J6"/>
    <mergeCell ref="AE3:AE5"/>
    <mergeCell ref="O6:Q6"/>
    <mergeCell ref="X6:Y6"/>
    <mergeCell ref="R6:T6"/>
    <mergeCell ref="U6:W6"/>
    <mergeCell ref="O5:Q5"/>
    <mergeCell ref="L3:M5"/>
    <mergeCell ref="X3:Y5"/>
    <mergeCell ref="R3:T5"/>
    <mergeCell ref="U3:W5"/>
    <mergeCell ref="BA3:BB5"/>
    <mergeCell ref="BK3:BL5"/>
    <mergeCell ref="AP4:AR5"/>
    <mergeCell ref="AN3:AO3"/>
    <mergeCell ref="AC4:AD5"/>
    <mergeCell ref="Z5:AA5"/>
    <mergeCell ref="AK4:AM5"/>
    <mergeCell ref="AF3:AH4"/>
    <mergeCell ref="BC5:BD5"/>
    <mergeCell ref="AF5:AH5"/>
    <mergeCell ref="AN4:AO5"/>
  </mergeCells>
  <conditionalFormatting sqref="L3">
    <cfRule type="expression" dxfId="636" priority="2672">
      <formula>CheckD2Val_DTABLES</formula>
    </cfRule>
  </conditionalFormatting>
  <conditionalFormatting sqref="Z7">
    <cfRule type="expression" dxfId="635" priority="2208">
      <formula>IF(test_avg&lt;0,1,0)</formula>
    </cfRule>
  </conditionalFormatting>
  <conditionalFormatting sqref="BF7 BE5">
    <cfRule type="expression" dxfId="634" priority="2207">
      <formula>IF(test_avg="Error",1,0)</formula>
    </cfRule>
  </conditionalFormatting>
  <conditionalFormatting sqref="AG8 AH16">
    <cfRule type="expression" dxfId="633" priority="2110">
      <formula>IF((1*$AG$8),0,1)</formula>
    </cfRule>
  </conditionalFormatting>
  <conditionalFormatting sqref="AK8">
    <cfRule type="containsText" dxfId="632" priority="2096" operator="containsText" text="(Very Low)">
      <formula>NOT(ISERROR(SEARCH("(Very Low)",AK8)))</formula>
    </cfRule>
    <cfRule type="containsText" dxfId="631" priority="2097" operator="containsText" text="(Low)">
      <formula>NOT(ISERROR(SEARCH("(Low)",AK8)))</formula>
    </cfRule>
    <cfRule type="containsText" dxfId="630" priority="2098" operator="containsText" text="Moderate">
      <formula>NOT(ISERROR(SEARCH("Moderate",AK8)))</formula>
    </cfRule>
    <cfRule type="containsText" dxfId="629" priority="2099" operator="containsText" text="(High)">
      <formula>NOT(ISERROR(SEARCH("(High)",AK8)))</formula>
    </cfRule>
    <cfRule type="containsText" dxfId="628" priority="2100" operator="containsText" text="(Very High)">
      <formula>NOT(ISERROR(SEARCH("(Very High)",AK8)))</formula>
    </cfRule>
  </conditionalFormatting>
  <conditionalFormatting sqref="AP8">
    <cfRule type="containsText" dxfId="627" priority="2088" operator="containsText" text="(Very Low)">
      <formula>NOT(ISERROR(SEARCH("(Very Low)",AP8)))</formula>
    </cfRule>
    <cfRule type="containsText" dxfId="626" priority="2089" operator="containsText" text="(Low)">
      <formula>NOT(ISERROR(SEARCH("(Low)",AP8)))</formula>
    </cfRule>
    <cfRule type="containsText" dxfId="625" priority="2090" operator="containsText" text="Moderate">
      <formula>NOT(ISERROR(SEARCH("Moderate",AP8)))</formula>
    </cfRule>
    <cfRule type="containsText" dxfId="624" priority="2091" operator="containsText" text="(High)">
      <formula>NOT(ISERROR(SEARCH("(High)",AP8)))</formula>
    </cfRule>
    <cfRule type="containsText" dxfId="623" priority="2092" operator="containsText" text="(Very High)">
      <formula>NOT(ISERROR(SEARCH("(Very High)",AP8)))</formula>
    </cfRule>
  </conditionalFormatting>
  <conditionalFormatting sqref="AS8">
    <cfRule type="containsText" dxfId="622" priority="2055" operator="containsText" text="(Very Low)">
      <formula>NOT(ISERROR(SEARCH("(Very Low)",AS8)))</formula>
    </cfRule>
    <cfRule type="containsText" dxfId="621" priority="2056" operator="containsText" text="(Low)">
      <formula>NOT(ISERROR(SEARCH("(Low)",AS8)))</formula>
    </cfRule>
    <cfRule type="containsText" dxfId="620" priority="2057" operator="containsText" text="Moderate">
      <formula>NOT(ISERROR(SEARCH("Moderate",AS8)))</formula>
    </cfRule>
    <cfRule type="containsText" dxfId="619" priority="2058" operator="containsText" text="(High)">
      <formula>NOT(ISERROR(SEARCH("(High)",AS8)))</formula>
    </cfRule>
    <cfRule type="containsText" dxfId="618" priority="2059" operator="containsText" text="(Very High)">
      <formula>NOT(ISERROR(SEARCH("(Very High)",AS8)))</formula>
    </cfRule>
  </conditionalFormatting>
  <conditionalFormatting sqref="AS7">
    <cfRule type="expression" dxfId="617" priority="2054">
      <formula>IF(test_avg&lt;0,1,0)</formula>
    </cfRule>
  </conditionalFormatting>
  <conditionalFormatting sqref="AT5 AS6:AS7">
    <cfRule type="expression" dxfId="616" priority="1409">
      <formula>Standard</formula>
    </cfRule>
    <cfRule type="expression" dxfId="615" priority="2053">
      <formula>IF(test_avg="Error",1,0)</formula>
    </cfRule>
  </conditionalFormatting>
  <conditionalFormatting sqref="AS8">
    <cfRule type="expression" dxfId="614" priority="2052">
      <formula>"if(AND($S$7&gt;=0,$S$7&lt;5)"</formula>
    </cfRule>
  </conditionalFormatting>
  <conditionalFormatting sqref="AX7">
    <cfRule type="expression" dxfId="613" priority="1993">
      <formula>SmeRatingG2</formula>
    </cfRule>
    <cfRule type="expression" dxfId="612" priority="2051">
      <formula>SmeRatingD3</formula>
    </cfRule>
  </conditionalFormatting>
  <conditionalFormatting sqref="AW8">
    <cfRule type="containsText" dxfId="611" priority="2046" operator="containsText" text="(Very Low)">
      <formula>NOT(ISERROR(SEARCH("(Very Low)",AW8)))</formula>
    </cfRule>
    <cfRule type="containsText" dxfId="610" priority="2047" operator="containsText" text="(Low)">
      <formula>NOT(ISERROR(SEARCH("(Low)",AW8)))</formula>
    </cfRule>
    <cfRule type="containsText" dxfId="609" priority="2048" operator="containsText" text="Moderate">
      <formula>NOT(ISERROR(SEARCH("Moderate",AW8)))</formula>
    </cfRule>
    <cfRule type="containsText" dxfId="608" priority="2049" operator="containsText" text="(High)">
      <formula>NOT(ISERROR(SEARCH("(High)",AW8)))</formula>
    </cfRule>
    <cfRule type="containsText" dxfId="607" priority="2050" operator="containsText" text="(Very High)">
      <formula>NOT(ISERROR(SEARCH("(Very High)",AW8)))</formula>
    </cfRule>
  </conditionalFormatting>
  <conditionalFormatting sqref="AY6">
    <cfRule type="expression" dxfId="606" priority="2038">
      <formula>SmeRatingD3</formula>
    </cfRule>
  </conditionalFormatting>
  <conditionalFormatting sqref="AZ7">
    <cfRule type="expression" dxfId="605" priority="2044">
      <formula>SmeRatingD3</formula>
    </cfRule>
  </conditionalFormatting>
  <conditionalFormatting sqref="AY8">
    <cfRule type="containsText" dxfId="604" priority="2039" operator="containsText" text="(Very Low)">
      <formula>NOT(ISERROR(SEARCH("(Very Low)",AY8)))</formula>
    </cfRule>
    <cfRule type="containsText" dxfId="603" priority="2040" operator="containsText" text="(Low)">
      <formula>NOT(ISERROR(SEARCH("(Low)",AY8)))</formula>
    </cfRule>
    <cfRule type="containsText" dxfId="602" priority="2041" operator="containsText" text="Moderate">
      <formula>NOT(ISERROR(SEARCH("Moderate",AY8)))</formula>
    </cfRule>
    <cfRule type="containsText" dxfId="601" priority="2042" operator="containsText" text="(High)">
      <formula>NOT(ISERROR(SEARCH("(High)",AY8)))</formula>
    </cfRule>
    <cfRule type="containsText" dxfId="600" priority="2043" operator="containsText" text="(Very High)">
      <formula>NOT(ISERROR(SEARCH("(Very High)",AY8)))</formula>
    </cfRule>
  </conditionalFormatting>
  <conditionalFormatting sqref="BB7 BE7">
    <cfRule type="expression" dxfId="599" priority="2036">
      <formula>SmeRatingD3</formula>
    </cfRule>
  </conditionalFormatting>
  <conditionalFormatting sqref="BA8">
    <cfRule type="containsText" dxfId="598" priority="2031" operator="containsText" text="(Very Low)">
      <formula>NOT(ISERROR(SEARCH("(Very Low)",BA8)))</formula>
    </cfRule>
    <cfRule type="containsText" dxfId="597" priority="2032" operator="containsText" text="(Low)">
      <formula>NOT(ISERROR(SEARCH("(Low)",BA8)))</formula>
    </cfRule>
    <cfRule type="containsText" dxfId="596" priority="2033" operator="containsText" text="Moderate">
      <formula>NOT(ISERROR(SEARCH("Moderate",BA8)))</formula>
    </cfRule>
    <cfRule type="containsText" dxfId="595" priority="2034" operator="containsText" text="(High)">
      <formula>NOT(ISERROR(SEARCH("(High)",BA8)))</formula>
    </cfRule>
    <cfRule type="containsText" dxfId="594" priority="2035" operator="containsText" text="(Very High)">
      <formula>NOT(ISERROR(SEARCH("(Very High)",BA8)))</formula>
    </cfRule>
  </conditionalFormatting>
  <conditionalFormatting sqref="BF7">
    <cfRule type="expression" dxfId="593" priority="2023">
      <formula>IF(test_avg&lt;0,1,0)</formula>
    </cfRule>
  </conditionalFormatting>
  <conditionalFormatting sqref="BL7">
    <cfRule type="expression" dxfId="592" priority="2020">
      <formula>SmeRatingD3</formula>
    </cfRule>
  </conditionalFormatting>
  <conditionalFormatting sqref="BK8">
    <cfRule type="containsText" dxfId="591" priority="2015" operator="containsText" text="(Very Low)">
      <formula>NOT(ISERROR(SEARCH("(Very Low)",BK8)))</formula>
    </cfRule>
    <cfRule type="containsText" dxfId="590" priority="2016" operator="containsText" text="(Low)">
      <formula>NOT(ISERROR(SEARCH("(Low)",BK8)))</formula>
    </cfRule>
    <cfRule type="containsText" dxfId="589" priority="2017" operator="containsText" text="Moderate">
      <formula>NOT(ISERROR(SEARCH("Moderate",BK8)))</formula>
    </cfRule>
    <cfRule type="containsText" dxfId="588" priority="2018" operator="containsText" text="(High)">
      <formula>NOT(ISERROR(SEARCH("(High)",BK8)))</formula>
    </cfRule>
    <cfRule type="containsText" dxfId="587" priority="2019" operator="containsText" text="(Very High)">
      <formula>NOT(ISERROR(SEARCH("(Very High)",BK8)))</formula>
    </cfRule>
  </conditionalFormatting>
  <conditionalFormatting sqref="AO6">
    <cfRule type="expression" dxfId="586" priority="1996">
      <formula>CheckF4Val_DTABLES</formula>
    </cfRule>
  </conditionalFormatting>
  <conditionalFormatting sqref="AO7">
    <cfRule type="expression" dxfId="585" priority="1995">
      <formula>CheckF4Val_DTABLES</formula>
    </cfRule>
  </conditionalFormatting>
  <conditionalFormatting sqref="AY6:AZ6">
    <cfRule type="expression" dxfId="584" priority="1992">
      <formula>SmeRatingG3</formula>
    </cfRule>
  </conditionalFormatting>
  <conditionalFormatting sqref="BA6">
    <cfRule type="expression" dxfId="583" priority="1991">
      <formula>SmeRatingD3</formula>
    </cfRule>
  </conditionalFormatting>
  <conditionalFormatting sqref="BA6:BD6">
    <cfRule type="expression" dxfId="582" priority="1980">
      <formula>SmeRatingG4</formula>
    </cfRule>
    <cfRule type="expression" dxfId="581" priority="1988">
      <formula>SmeRatingG3</formula>
    </cfRule>
  </conditionalFormatting>
  <conditionalFormatting sqref="BJ7">
    <cfRule type="expression" dxfId="580" priority="1984">
      <formula>CheckH2Val_DTables</formula>
    </cfRule>
  </conditionalFormatting>
  <conditionalFormatting sqref="BL7 BK6">
    <cfRule type="expression" dxfId="579" priority="1983">
      <formula>SmeRatingH3</formula>
    </cfRule>
  </conditionalFormatting>
  <conditionalFormatting sqref="AW6:AX6">
    <cfRule type="expression" dxfId="578" priority="1986">
      <formula>SmeRatingG2</formula>
    </cfRule>
  </conditionalFormatting>
  <conditionalFormatting sqref="AD6">
    <cfRule type="expression" dxfId="577" priority="1973">
      <formula>CheckE2Val_DTABLES</formula>
    </cfRule>
  </conditionalFormatting>
  <conditionalFormatting sqref="BE6">
    <cfRule type="expression" dxfId="576" priority="1940">
      <formula>SmeRatingD3</formula>
    </cfRule>
  </conditionalFormatting>
  <conditionalFormatting sqref="BG8">
    <cfRule type="expression" dxfId="575" priority="1932">
      <formula>"if(AND($S$7&gt;=0,$S$7&lt;5)"</formula>
    </cfRule>
  </conditionalFormatting>
  <conditionalFormatting sqref="BG7">
    <cfRule type="expression" dxfId="574" priority="1939">
      <formula>IF(test_avg="Error",1,0)</formula>
    </cfRule>
  </conditionalFormatting>
  <conditionalFormatting sqref="BG8">
    <cfRule type="containsText" dxfId="573" priority="1934" operator="containsText" text="(Very Low)">
      <formula>NOT(ISERROR(SEARCH("(Very Low)",BG8)))</formula>
    </cfRule>
    <cfRule type="containsText" dxfId="572" priority="1935" operator="containsText" text="(Low)">
      <formula>NOT(ISERROR(SEARCH("(Low)",BG8)))</formula>
    </cfRule>
    <cfRule type="containsText" dxfId="571" priority="1936" operator="containsText" text="Moderate">
      <formula>NOT(ISERROR(SEARCH("Moderate",BG8)))</formula>
    </cfRule>
    <cfRule type="containsText" dxfId="570" priority="1937" operator="containsText" text="(High)">
      <formula>NOT(ISERROR(SEARCH("(High)",BG8)))</formula>
    </cfRule>
    <cfRule type="containsText" dxfId="569" priority="1938" operator="containsText" text="(Very High)">
      <formula>NOT(ISERROR(SEARCH("(Very High)",BG8)))</formula>
    </cfRule>
  </conditionalFormatting>
  <conditionalFormatting sqref="BG7">
    <cfRule type="expression" dxfId="568" priority="1933">
      <formula>IF(test_avg&lt;0,1,0)</formula>
    </cfRule>
  </conditionalFormatting>
  <conditionalFormatting sqref="BE8">
    <cfRule type="containsText" dxfId="567" priority="1412" operator="containsText" text="(Very Low)">
      <formula>NOT(ISERROR(SEARCH("(Very Low)",BE8)))</formula>
    </cfRule>
    <cfRule type="containsText" dxfId="566" priority="1413" operator="containsText" text="(Low)">
      <formula>NOT(ISERROR(SEARCH("(Low)",BE8)))</formula>
    </cfRule>
    <cfRule type="containsText" dxfId="565" priority="1414" operator="containsText" text="Moderate">
      <formula>NOT(ISERROR(SEARCH("Moderate",BE8)))</formula>
    </cfRule>
    <cfRule type="containsText" dxfId="564" priority="1415" operator="containsText" text="(High)">
      <formula>NOT(ISERROR(SEARCH("(High)",BE8)))</formula>
    </cfRule>
    <cfRule type="containsText" dxfId="563" priority="1416" operator="containsText" text="(Very High)">
      <formula>NOT(ISERROR(SEARCH("(Very High)",BE8)))</formula>
    </cfRule>
  </conditionalFormatting>
  <conditionalFormatting sqref="Z6:Z7">
    <cfRule type="expression" dxfId="562" priority="1410">
      <formula>Standard</formula>
    </cfRule>
  </conditionalFormatting>
  <conditionalFormatting sqref="BG7">
    <cfRule type="expression" dxfId="561" priority="1408">
      <formula>Standard</formula>
    </cfRule>
  </conditionalFormatting>
  <conditionalFormatting sqref="BQ5">
    <cfRule type="expression" dxfId="560" priority="1407">
      <formula>Standard</formula>
    </cfRule>
  </conditionalFormatting>
  <conditionalFormatting sqref="O16 R16 U16 X16 AA16">
    <cfRule type="containsText" dxfId="559" priority="584" operator="containsText" text="(Very Low)">
      <formula>NOT(ISERROR(SEARCH("(Very Low)",O16)))</formula>
    </cfRule>
    <cfRule type="containsText" dxfId="558" priority="585" operator="containsText" text="(Low)">
      <formula>NOT(ISERROR(SEARCH("(Low)",O16)))</formula>
    </cfRule>
    <cfRule type="containsText" dxfId="557" priority="586" operator="containsText" text="Moderate">
      <formula>NOT(ISERROR(SEARCH("Moderate",O16)))</formula>
    </cfRule>
    <cfRule type="containsText" dxfId="556" priority="587" operator="containsText" text="(High)">
      <formula>NOT(ISERROR(SEARCH("(High)",O16)))</formula>
    </cfRule>
    <cfRule type="containsText" dxfId="555" priority="588" operator="containsText" text="(Very High)">
      <formula>NOT(ISERROR(SEARCH("(Very High)",O16)))</formula>
    </cfRule>
  </conditionalFormatting>
  <conditionalFormatting sqref="AA16">
    <cfRule type="expression" dxfId="554" priority="582">
      <formula>"if(AND($S$7&gt;=0,$S$7&lt;5)"</formula>
    </cfRule>
  </conditionalFormatting>
  <conditionalFormatting sqref="AK16:AL16">
    <cfRule type="containsText" dxfId="553" priority="575" operator="containsText" text="(Very Low)">
      <formula>NOT(ISERROR(SEARCH("(Very Low)",AK16)))</formula>
    </cfRule>
    <cfRule type="containsText" dxfId="552" priority="576" operator="containsText" text="(Low)">
      <formula>NOT(ISERROR(SEARCH("(Low)",AK16)))</formula>
    </cfRule>
    <cfRule type="containsText" dxfId="551" priority="577" operator="containsText" text="Moderate">
      <formula>NOT(ISERROR(SEARCH("Moderate",AK16)))</formula>
    </cfRule>
    <cfRule type="containsText" dxfId="550" priority="578" operator="containsText" text="(High)">
      <formula>NOT(ISERROR(SEARCH("(High)",AK16)))</formula>
    </cfRule>
    <cfRule type="containsText" dxfId="549" priority="579" operator="containsText" text="(Very High)">
      <formula>NOT(ISERROR(SEARCH("(Very High)",AK16)))</formula>
    </cfRule>
  </conditionalFormatting>
  <conditionalFormatting sqref="AP16">
    <cfRule type="containsText" dxfId="548" priority="570" operator="containsText" text="(Very Low)">
      <formula>NOT(ISERROR(SEARCH("(Very Low)",AP16)))</formula>
    </cfRule>
    <cfRule type="containsText" dxfId="547" priority="571" operator="containsText" text="(Low)">
      <formula>NOT(ISERROR(SEARCH("(Low)",AP16)))</formula>
    </cfRule>
    <cfRule type="containsText" dxfId="546" priority="572" operator="containsText" text="Moderate">
      <formula>NOT(ISERROR(SEARCH("Moderate",AP16)))</formula>
    </cfRule>
    <cfRule type="containsText" dxfId="545" priority="573" operator="containsText" text="(High)">
      <formula>NOT(ISERROR(SEARCH("(High)",AP16)))</formula>
    </cfRule>
    <cfRule type="containsText" dxfId="544" priority="574" operator="containsText" text="(Very High)">
      <formula>NOT(ISERROR(SEARCH("(Very High)",AP16)))</formula>
    </cfRule>
  </conditionalFormatting>
  <conditionalFormatting sqref="AT16">
    <cfRule type="containsText" dxfId="543" priority="565" operator="containsText" text="(Very Low)">
      <formula>NOT(ISERROR(SEARCH("(Very Low)",AT16)))</formula>
    </cfRule>
    <cfRule type="containsText" dxfId="542" priority="566" operator="containsText" text="(Low)">
      <formula>NOT(ISERROR(SEARCH("(Low)",AT16)))</formula>
    </cfRule>
    <cfRule type="containsText" dxfId="541" priority="567" operator="containsText" text="Moderate">
      <formula>NOT(ISERROR(SEARCH("Moderate",AT16)))</formula>
    </cfRule>
    <cfRule type="containsText" dxfId="540" priority="568" operator="containsText" text="(High)">
      <formula>NOT(ISERROR(SEARCH("(High)",AT16)))</formula>
    </cfRule>
    <cfRule type="containsText" dxfId="539" priority="569" operator="containsText" text="(Very High)">
      <formula>NOT(ISERROR(SEARCH("(Very High)",AT16)))</formula>
    </cfRule>
  </conditionalFormatting>
  <conditionalFormatting sqref="AT16">
    <cfRule type="expression" dxfId="538" priority="564">
      <formula>"if(AND($S$7&gt;=0,$S$7&lt;5)"</formula>
    </cfRule>
  </conditionalFormatting>
  <conditionalFormatting sqref="AW16">
    <cfRule type="containsText" dxfId="537" priority="559" operator="containsText" text="(Very Low)">
      <formula>NOT(ISERROR(SEARCH("(Very Low)",AW16)))</formula>
    </cfRule>
    <cfRule type="containsText" dxfId="536" priority="560" operator="containsText" text="(Low)">
      <formula>NOT(ISERROR(SEARCH("(Low)",AW16)))</formula>
    </cfRule>
    <cfRule type="containsText" dxfId="535" priority="561" operator="containsText" text="Moderate">
      <formula>NOT(ISERROR(SEARCH("Moderate",AW16)))</formula>
    </cfRule>
    <cfRule type="containsText" dxfId="534" priority="562" operator="containsText" text="(High)">
      <formula>NOT(ISERROR(SEARCH("(High)",AW16)))</formula>
    </cfRule>
    <cfRule type="containsText" dxfId="533" priority="563" operator="containsText" text="(Very High)">
      <formula>NOT(ISERROR(SEARCH("(Very High)",AW16)))</formula>
    </cfRule>
  </conditionalFormatting>
  <conditionalFormatting sqref="AY16">
    <cfRule type="containsText" dxfId="532" priority="554" operator="containsText" text="(Very Low)">
      <formula>NOT(ISERROR(SEARCH("(Very Low)",AY16)))</formula>
    </cfRule>
    <cfRule type="containsText" dxfId="531" priority="555" operator="containsText" text="(Low)">
      <formula>NOT(ISERROR(SEARCH("(Low)",AY16)))</formula>
    </cfRule>
    <cfRule type="containsText" dxfId="530" priority="556" operator="containsText" text="Moderate">
      <formula>NOT(ISERROR(SEARCH("Moderate",AY16)))</formula>
    </cfRule>
    <cfRule type="containsText" dxfId="529" priority="557" operator="containsText" text="(High)">
      <formula>NOT(ISERROR(SEARCH("(High)",AY16)))</formula>
    </cfRule>
    <cfRule type="containsText" dxfId="528" priority="558" operator="containsText" text="(Very High)">
      <formula>NOT(ISERROR(SEARCH("(Very High)",AY16)))</formula>
    </cfRule>
  </conditionalFormatting>
  <conditionalFormatting sqref="BA16">
    <cfRule type="containsText" dxfId="527" priority="549" operator="containsText" text="(Very Low)">
      <formula>NOT(ISERROR(SEARCH("(Very Low)",BA16)))</formula>
    </cfRule>
    <cfRule type="containsText" dxfId="526" priority="550" operator="containsText" text="(Low)">
      <formula>NOT(ISERROR(SEARCH("(Low)",BA16)))</formula>
    </cfRule>
    <cfRule type="containsText" dxfId="525" priority="551" operator="containsText" text="Moderate">
      <formula>NOT(ISERROR(SEARCH("Moderate",BA16)))</formula>
    </cfRule>
    <cfRule type="containsText" dxfId="524" priority="552" operator="containsText" text="(High)">
      <formula>NOT(ISERROR(SEARCH("(High)",BA16)))</formula>
    </cfRule>
    <cfRule type="containsText" dxfId="523" priority="553" operator="containsText" text="(Very High)">
      <formula>NOT(ISERROR(SEARCH("(Very High)",BA16)))</formula>
    </cfRule>
  </conditionalFormatting>
  <conditionalFormatting sqref="BK16">
    <cfRule type="containsText" dxfId="522" priority="544" operator="containsText" text="(Very Low)">
      <formula>NOT(ISERROR(SEARCH("(Very Low)",BK16)))</formula>
    </cfRule>
    <cfRule type="containsText" dxfId="521" priority="545" operator="containsText" text="(Low)">
      <formula>NOT(ISERROR(SEARCH("(Low)",BK16)))</formula>
    </cfRule>
    <cfRule type="containsText" dxfId="520" priority="546" operator="containsText" text="Moderate">
      <formula>NOT(ISERROR(SEARCH("Moderate",BK16)))</formula>
    </cfRule>
    <cfRule type="containsText" dxfId="519" priority="547" operator="containsText" text="(High)">
      <formula>NOT(ISERROR(SEARCH("(High)",BK16)))</formula>
    </cfRule>
    <cfRule type="containsText" dxfId="518" priority="548" operator="containsText" text="(Very High)">
      <formula>NOT(ISERROR(SEARCH("(Very High)",BK16)))</formula>
    </cfRule>
  </conditionalFormatting>
  <conditionalFormatting sqref="BO16">
    <cfRule type="containsText" dxfId="517" priority="539" operator="containsText" text="(Very Low)">
      <formula>NOT(ISERROR(SEARCH("(Very Low)",BO16)))</formula>
    </cfRule>
    <cfRule type="containsText" dxfId="516" priority="540" operator="containsText" text="(Low)">
      <formula>NOT(ISERROR(SEARCH("(Low)",BO16)))</formula>
    </cfRule>
    <cfRule type="containsText" dxfId="515" priority="541" operator="containsText" text="Moderate">
      <formula>NOT(ISERROR(SEARCH("Moderate",BO16)))</formula>
    </cfRule>
    <cfRule type="containsText" dxfId="514" priority="542" operator="containsText" text="(High)">
      <formula>NOT(ISERROR(SEARCH("(High)",BO16)))</formula>
    </cfRule>
    <cfRule type="containsText" dxfId="513" priority="543" operator="containsText" text="(Very High)">
      <formula>NOT(ISERROR(SEARCH("(Very High)",BO16)))</formula>
    </cfRule>
  </conditionalFormatting>
  <conditionalFormatting sqref="BG16">
    <cfRule type="expression" dxfId="512" priority="533">
      <formula>"if(AND($S$7&gt;=0,$S$7&lt;5)"</formula>
    </cfRule>
  </conditionalFormatting>
  <conditionalFormatting sqref="BG16">
    <cfRule type="containsText" dxfId="511" priority="534" operator="containsText" text="(Very Low)">
      <formula>NOT(ISERROR(SEARCH("(Very Low)",BG16)))</formula>
    </cfRule>
    <cfRule type="containsText" dxfId="510" priority="535" operator="containsText" text="(Low)">
      <formula>NOT(ISERROR(SEARCH("(Low)",BG16)))</formula>
    </cfRule>
    <cfRule type="containsText" dxfId="509" priority="536" operator="containsText" text="Moderate">
      <formula>NOT(ISERROR(SEARCH("Moderate",BG16)))</formula>
    </cfRule>
    <cfRule type="containsText" dxfId="508" priority="537" operator="containsText" text="(High)">
      <formula>NOT(ISERROR(SEARCH("(High)",BG16)))</formula>
    </cfRule>
    <cfRule type="containsText" dxfId="507" priority="538" operator="containsText" text="(Very High)">
      <formula>NOT(ISERROR(SEARCH("(Very High)",BG16)))</formula>
    </cfRule>
  </conditionalFormatting>
  <conditionalFormatting sqref="BE16">
    <cfRule type="containsText" dxfId="506" priority="528" operator="containsText" text="(Very Low)">
      <formula>NOT(ISERROR(SEARCH("(Very Low)",BE16)))</formula>
    </cfRule>
    <cfRule type="containsText" dxfId="505" priority="529" operator="containsText" text="(Low)">
      <formula>NOT(ISERROR(SEARCH("(Low)",BE16)))</formula>
    </cfRule>
    <cfRule type="containsText" dxfId="504" priority="530" operator="containsText" text="Moderate">
      <formula>NOT(ISERROR(SEARCH("Moderate",BE16)))</formula>
    </cfRule>
    <cfRule type="containsText" dxfId="503" priority="531" operator="containsText" text="(High)">
      <formula>NOT(ISERROR(SEARCH("(High)",BE16)))</formula>
    </cfRule>
    <cfRule type="containsText" dxfId="502" priority="532" operator="containsText" text="(Very High)">
      <formula>NOT(ISERROR(SEARCH("(Very High)",BE16)))</formula>
    </cfRule>
  </conditionalFormatting>
  <conditionalFormatting sqref="Z6">
    <cfRule type="expression" dxfId="501" priority="522">
      <formula>IF(test_avg&lt;0,1,0)</formula>
    </cfRule>
  </conditionalFormatting>
  <conditionalFormatting sqref="O8 R8 U8 X8">
    <cfRule type="containsText" dxfId="500" priority="2691" operator="containsText" text="(Very Low)">
      <formula>NOT(ISERROR(SEARCH("(Very Low)",O8)))</formula>
    </cfRule>
    <cfRule type="containsText" dxfId="499" priority="2692" operator="containsText" text="(Low)">
      <formula>NOT(ISERROR(SEARCH("(Low)",O8)))</formula>
    </cfRule>
    <cfRule type="containsText" dxfId="498" priority="2694" operator="containsText" text="Moderate">
      <formula>NOT(ISERROR(SEARCH("Moderate",O8)))</formula>
    </cfRule>
    <cfRule type="containsText" dxfId="497" priority="2695" operator="containsText" text="(High)">
      <formula>NOT(ISERROR(SEARCH("(High)",O8)))</formula>
    </cfRule>
    <cfRule type="containsText" dxfId="496" priority="2697" operator="containsText" text="(Very High)">
      <formula>NOT(ISERROR(SEARCH("(Very High)",O8)))</formula>
    </cfRule>
  </conditionalFormatting>
  <conditionalFormatting sqref="Z8">
    <cfRule type="expression" dxfId="495" priority="513">
      <formula>AND(IF($Z$8&gt;=96,1,0),IF($Z$8&lt;=100,1,0))</formula>
    </cfRule>
    <cfRule type="expression" dxfId="494" priority="514">
      <formula>AND(IF($Z$8&gt;=80,1,0), IF($Z$8&lt;96,1,0))</formula>
    </cfRule>
    <cfRule type="expression" dxfId="493" priority="516">
      <formula>AND(IF($Z$8&gt;=21,1,0),IF($Z$8&lt;80,1,0))</formula>
    </cfRule>
    <cfRule type="expression" dxfId="492" priority="518">
      <formula>AND(IF($Z$8&gt;=5,1,0),IF($Z$8&lt;21,1,0))</formula>
    </cfRule>
    <cfRule type="expression" dxfId="491" priority="521">
      <formula>IF($Z$8 &lt; 5,1,0)</formula>
    </cfRule>
  </conditionalFormatting>
  <conditionalFormatting sqref="BP6">
    <cfRule type="expression" dxfId="490" priority="504">
      <formula>SmeRatingD3</formula>
    </cfRule>
  </conditionalFormatting>
  <conditionalFormatting sqref="BQ7">
    <cfRule type="expression" dxfId="489" priority="502">
      <formula>SmeRatingD3</formula>
    </cfRule>
  </conditionalFormatting>
  <conditionalFormatting sqref="BP7">
    <cfRule type="expression" dxfId="488" priority="501">
      <formula>SmeRatingD3</formula>
    </cfRule>
  </conditionalFormatting>
  <conditionalFormatting sqref="AA5">
    <cfRule type="expression" dxfId="487" priority="498">
      <formula>"OR(IF($AA$8&lt;100), 1, 0), iF($AA$8&gt;100, 1,0))"</formula>
    </cfRule>
  </conditionalFormatting>
  <conditionalFormatting sqref="AA6">
    <cfRule type="expression" dxfId="486" priority="497">
      <formula>NOT(d_weight)</formula>
    </cfRule>
  </conditionalFormatting>
  <conditionalFormatting sqref="AT7">
    <cfRule type="expression" dxfId="485" priority="494">
      <formula>Standard</formula>
    </cfRule>
    <cfRule type="expression" dxfId="484" priority="495">
      <formula>IF(test_avg="Error",1,0)</formula>
    </cfRule>
  </conditionalFormatting>
  <conditionalFormatting sqref="AT7">
    <cfRule type="expression" dxfId="483" priority="496">
      <formula>IF(test_avg&lt;0,1,0)</formula>
    </cfRule>
  </conditionalFormatting>
  <conditionalFormatting sqref="BC7">
    <cfRule type="expression" dxfId="482" priority="493">
      <formula>IF(test_avg&lt;0,1,0)</formula>
    </cfRule>
  </conditionalFormatting>
  <conditionalFormatting sqref="BC7">
    <cfRule type="expression" dxfId="481" priority="492">
      <formula>Standard</formula>
    </cfRule>
  </conditionalFormatting>
  <conditionalFormatting sqref="AG7">
    <cfRule type="expression" dxfId="480" priority="490">
      <formula>IF(test_avg&lt;0,1,0)</formula>
    </cfRule>
  </conditionalFormatting>
  <conditionalFormatting sqref="AG7">
    <cfRule type="expression" dxfId="479" priority="489">
      <formula>Standard</formula>
    </cfRule>
  </conditionalFormatting>
  <conditionalFormatting sqref="AF7">
    <cfRule type="expression" dxfId="478" priority="487">
      <formula>IF(test_avg&lt;0,1,0)</formula>
    </cfRule>
  </conditionalFormatting>
  <conditionalFormatting sqref="AF7">
    <cfRule type="expression" dxfId="477" priority="486">
      <formula>Standard</formula>
    </cfRule>
  </conditionalFormatting>
  <conditionalFormatting sqref="AL6">
    <cfRule type="expression" dxfId="476" priority="467">
      <formula>f2_xx*f2_rating</formula>
    </cfRule>
  </conditionalFormatting>
  <conditionalFormatting sqref="AK7:AM7">
    <cfRule type="expression" dxfId="475" priority="478">
      <formula>SmeRatingD3</formula>
    </cfRule>
  </conditionalFormatting>
  <conditionalFormatting sqref="AQ6">
    <cfRule type="expression" dxfId="474" priority="477">
      <formula>f5_xx*f5_rating</formula>
    </cfRule>
  </conditionalFormatting>
  <conditionalFormatting sqref="AP7:AR7">
    <cfRule type="expression" dxfId="473" priority="475">
      <formula>IF(test_avg&lt;0,1,0)</formula>
    </cfRule>
  </conditionalFormatting>
  <conditionalFormatting sqref="AP7:AR7">
    <cfRule type="expression" dxfId="472" priority="473">
      <formula>Standard</formula>
    </cfRule>
    <cfRule type="expression" dxfId="471" priority="474">
      <formula>IF(test_avg="Error",1,0)</formula>
    </cfRule>
  </conditionalFormatting>
  <conditionalFormatting sqref="AH6">
    <cfRule type="expression" dxfId="470" priority="471">
      <formula>IF(e_weight, 0, 1)</formula>
    </cfRule>
  </conditionalFormatting>
  <conditionalFormatting sqref="AG6">
    <cfRule type="expression" dxfId="469" priority="470">
      <formula>IF(e_rating, 0, 1)</formula>
    </cfRule>
  </conditionalFormatting>
  <conditionalFormatting sqref="AE3:AE6">
    <cfRule type="expression" dxfId="468" priority="469">
      <formula>Adversarial</formula>
    </cfRule>
  </conditionalFormatting>
  <conditionalFormatting sqref="AF3:AH4 AF6:AH6 AF5">
    <cfRule type="expression" dxfId="467" priority="468">
      <formula>e_na</formula>
    </cfRule>
  </conditionalFormatting>
  <conditionalFormatting sqref="AR6">
    <cfRule type="expression" dxfId="466" priority="450">
      <formula>f5_weight</formula>
    </cfRule>
  </conditionalFormatting>
  <conditionalFormatting sqref="AT6">
    <cfRule type="expression" dxfId="465" priority="449">
      <formula>f_weight</formula>
    </cfRule>
  </conditionalFormatting>
  <conditionalFormatting sqref="AH16">
    <cfRule type="expression" dxfId="464" priority="2109">
      <formula>IF((1*$AG$8),1,0)</formula>
    </cfRule>
  </conditionalFormatting>
  <conditionalFormatting sqref="BD6:BD7">
    <cfRule type="expression" dxfId="463" priority="448">
      <formula>g23_bwt</formula>
    </cfRule>
  </conditionalFormatting>
  <conditionalFormatting sqref="P21">
    <cfRule type="expression" dxfId="462" priority="228">
      <formula>NOT(Adversarial)</formula>
    </cfRule>
    <cfRule type="expression" dxfId="461" priority="245">
      <formula>SmeRatingD3</formula>
    </cfRule>
  </conditionalFormatting>
  <conditionalFormatting sqref="S21">
    <cfRule type="expression" dxfId="460" priority="227">
      <formula>NOT(Adversarial)</formula>
    </cfRule>
    <cfRule type="expression" dxfId="459" priority="246">
      <formula>SmeRatingD4</formula>
    </cfRule>
  </conditionalFormatting>
  <conditionalFormatting sqref="V21">
    <cfRule type="expression" dxfId="458" priority="226">
      <formula>NOT(Adversarial)</formula>
    </cfRule>
    <cfRule type="expression" dxfId="457" priority="244">
      <formula>SmeRatingD5</formula>
    </cfRule>
  </conditionalFormatting>
  <conditionalFormatting sqref="Z21">
    <cfRule type="expression" dxfId="456" priority="243">
      <formula>IF(test_avg&lt;0,1,0)</formula>
    </cfRule>
  </conditionalFormatting>
  <conditionalFormatting sqref="BF21">
    <cfRule type="expression" dxfId="455" priority="242">
      <formula>IF(test_avg="Error",1,0)</formula>
    </cfRule>
  </conditionalFormatting>
  <conditionalFormatting sqref="AS21">
    <cfRule type="expression" dxfId="454" priority="241">
      <formula>IF(test_avg&lt;0,1,0)</formula>
    </cfRule>
  </conditionalFormatting>
  <conditionalFormatting sqref="AS21">
    <cfRule type="expression" dxfId="453" priority="224">
      <formula>Standard</formula>
    </cfRule>
    <cfRule type="expression" dxfId="452" priority="240">
      <formula>IF(test_avg="Error",1,0)</formula>
    </cfRule>
  </conditionalFormatting>
  <conditionalFormatting sqref="AX21">
    <cfRule type="expression" dxfId="451" priority="233">
      <formula>SmeRatingG2</formula>
    </cfRule>
    <cfRule type="expression" dxfId="450" priority="239">
      <formula>SmeRatingD3</formula>
    </cfRule>
  </conditionalFormatting>
  <conditionalFormatting sqref="AZ21">
    <cfRule type="expression" dxfId="449" priority="238">
      <formula>SmeRatingD3</formula>
    </cfRule>
  </conditionalFormatting>
  <conditionalFormatting sqref="BB21 BE21">
    <cfRule type="expression" dxfId="448" priority="237">
      <formula>SmeRatingD3</formula>
    </cfRule>
  </conditionalFormatting>
  <conditionalFormatting sqref="BF21">
    <cfRule type="expression" dxfId="447" priority="236">
      <formula>IF(test_avg&lt;0,1,0)</formula>
    </cfRule>
  </conditionalFormatting>
  <conditionalFormatting sqref="BL21">
    <cfRule type="expression" dxfId="446" priority="235">
      <formula>SmeRatingD3</formula>
    </cfRule>
  </conditionalFormatting>
  <conditionalFormatting sqref="AO21">
    <cfRule type="expression" dxfId="445" priority="234">
      <formula>CheckF4Val_DTABLES</formula>
    </cfRule>
  </conditionalFormatting>
  <conditionalFormatting sqref="BJ21">
    <cfRule type="expression" dxfId="444" priority="232">
      <formula>CheckH2Val_DTables</formula>
    </cfRule>
  </conditionalFormatting>
  <conditionalFormatting sqref="BL21">
    <cfRule type="expression" dxfId="443" priority="231">
      <formula>SmeRatingH3</formula>
    </cfRule>
  </conditionalFormatting>
  <conditionalFormatting sqref="BG21">
    <cfRule type="expression" dxfId="442" priority="230">
      <formula>IF(test_avg="Error",1,0)</formula>
    </cfRule>
  </conditionalFormatting>
  <conditionalFormatting sqref="BG21">
    <cfRule type="expression" dxfId="441" priority="229">
      <formula>IF(test_avg&lt;0,1,0)</formula>
    </cfRule>
  </conditionalFormatting>
  <conditionalFormatting sqref="Z21">
    <cfRule type="expression" dxfId="440" priority="225">
      <formula>Standard</formula>
    </cfRule>
  </conditionalFormatting>
  <conditionalFormatting sqref="BG21">
    <cfRule type="expression" dxfId="439" priority="223">
      <formula>Standard</formula>
    </cfRule>
  </conditionalFormatting>
  <conditionalFormatting sqref="T21">
    <cfRule type="expression" dxfId="438" priority="221">
      <formula>NOT(Adversarial)</formula>
    </cfRule>
    <cfRule type="expression" dxfId="437" priority="222">
      <formula>SmeRatingD3</formula>
    </cfRule>
  </conditionalFormatting>
  <conditionalFormatting sqref="W21">
    <cfRule type="expression" dxfId="436" priority="219">
      <formula>NOT(Adversarial)</formula>
    </cfRule>
    <cfRule type="expression" dxfId="435" priority="220">
      <formula>SmeRatingD3</formula>
    </cfRule>
  </conditionalFormatting>
  <conditionalFormatting sqref="Q21">
    <cfRule type="expression" dxfId="434" priority="217">
      <formula>NOT(Adversarial)</formula>
    </cfRule>
    <cfRule type="expression" dxfId="433" priority="218">
      <formula>SmeRatingD3</formula>
    </cfRule>
  </conditionalFormatting>
  <conditionalFormatting sqref="BQ21">
    <cfRule type="expression" dxfId="432" priority="216">
      <formula>SmeRatingD3</formula>
    </cfRule>
  </conditionalFormatting>
  <conditionalFormatting sqref="BP21">
    <cfRule type="expression" dxfId="431" priority="215">
      <formula>SmeRatingD3</formula>
    </cfRule>
  </conditionalFormatting>
  <conditionalFormatting sqref="AT21">
    <cfRule type="expression" dxfId="430" priority="212">
      <formula>Standard</formula>
    </cfRule>
    <cfRule type="expression" dxfId="429" priority="213">
      <formula>IF(test_avg="Error",1,0)</formula>
    </cfRule>
  </conditionalFormatting>
  <conditionalFormatting sqref="AT21">
    <cfRule type="expression" dxfId="428" priority="214">
      <formula>IF(test_avg&lt;0,1,0)</formula>
    </cfRule>
  </conditionalFormatting>
  <conditionalFormatting sqref="BC21">
    <cfRule type="expression" dxfId="427" priority="211">
      <formula>IF(test_avg&lt;0,1,0)</formula>
    </cfRule>
  </conditionalFormatting>
  <conditionalFormatting sqref="BC21">
    <cfRule type="expression" dxfId="426" priority="210">
      <formula>Standard</formula>
    </cfRule>
  </conditionalFormatting>
  <conditionalFormatting sqref="AG21">
    <cfRule type="expression" dxfId="425" priority="209">
      <formula>IF(test_avg&lt;0,1,0)</formula>
    </cfRule>
  </conditionalFormatting>
  <conditionalFormatting sqref="AG21">
    <cfRule type="expression" dxfId="424" priority="208">
      <formula>Standard</formula>
    </cfRule>
  </conditionalFormatting>
  <conditionalFormatting sqref="AF21">
    <cfRule type="expression" dxfId="423" priority="207">
      <formula>IF(test_avg&lt;0,1,0)</formula>
    </cfRule>
  </conditionalFormatting>
  <conditionalFormatting sqref="AF21">
    <cfRule type="expression" dxfId="422" priority="206">
      <formula>Standard</formula>
    </cfRule>
  </conditionalFormatting>
  <conditionalFormatting sqref="AK21:AM21">
    <cfRule type="expression" dxfId="421" priority="205">
      <formula>SmeRatingD3</formula>
    </cfRule>
  </conditionalFormatting>
  <conditionalFormatting sqref="AP21:AR21">
    <cfRule type="expression" dxfId="420" priority="204">
      <formula>IF(test_avg&lt;0,1,0)</formula>
    </cfRule>
  </conditionalFormatting>
  <conditionalFormatting sqref="AP21:AR21">
    <cfRule type="expression" dxfId="419" priority="202">
      <formula>Standard</formula>
    </cfRule>
    <cfRule type="expression" dxfId="418" priority="203">
      <formula>IF(test_avg="Error",1,0)</formula>
    </cfRule>
  </conditionalFormatting>
  <conditionalFormatting sqref="BD21">
    <cfRule type="expression" dxfId="417" priority="201">
      <formula>g23_bwt</formula>
    </cfRule>
  </conditionalFormatting>
  <conditionalFormatting sqref="O6:Q6">
    <cfRule type="expression" dxfId="416" priority="200">
      <formula>IF(InScope, IF(Adversarial, SmeRatingD4, "N/A"), 0)</formula>
    </cfRule>
  </conditionalFormatting>
  <conditionalFormatting sqref="R6 S7">
    <cfRule type="expression" dxfId="415" priority="199">
      <formula>IF(InScope, IF(Adversarial, SmeRatingD4, 0), 0)</formula>
    </cfRule>
  </conditionalFormatting>
  <conditionalFormatting sqref="R6 T7">
    <cfRule type="expression" dxfId="414" priority="198">
      <formula>IF(InScope, IF(Adversarial, IF(d4_weight, 0, 1), 0), 0)</formula>
    </cfRule>
  </conditionalFormatting>
  <conditionalFormatting sqref="U6:W6 W7">
    <cfRule type="expression" dxfId="413" priority="197">
      <formula>IF(InScope, IF(Adversarial, IF(d5_weight, 0,1), "N/A"), 0)</formula>
    </cfRule>
  </conditionalFormatting>
  <conditionalFormatting sqref="U6:W6 V7">
    <cfRule type="expression" dxfId="412" priority="196">
      <formula>IF(Adversarial, IF(SmeRatingD5, 1, 0), 0)</formula>
    </cfRule>
  </conditionalFormatting>
  <conditionalFormatting sqref="X6 Y7">
    <cfRule type="expression" dxfId="411" priority="195">
      <formula>IF(InScope, IF(Adversarial, 0, d6_weight), 0)</formula>
    </cfRule>
  </conditionalFormatting>
  <conditionalFormatting sqref="O6 P7">
    <cfRule type="expression" dxfId="410" priority="194">
      <formula>IF(InScope, IF(Adversarial, SmeRatingD3, "N/A"), 0)</formula>
    </cfRule>
  </conditionalFormatting>
  <conditionalFormatting sqref="O6 Q7">
    <cfRule type="expression" dxfId="409" priority="193">
      <formula>IF(InScope, IF(Adversarial, IF(d3_weight, 0, 1), "N/A"),  0)</formula>
    </cfRule>
  </conditionalFormatting>
  <conditionalFormatting sqref="AG17">
    <cfRule type="expression" dxfId="408" priority="181">
      <formula>IF((1*$AG$8),0,1)</formula>
    </cfRule>
  </conditionalFormatting>
  <conditionalFormatting sqref="AK17">
    <cfRule type="containsText" dxfId="407" priority="176" operator="containsText" text="(Very Low)">
      <formula>NOT(ISERROR(SEARCH("(Very Low)",AK17)))</formula>
    </cfRule>
    <cfRule type="containsText" dxfId="406" priority="177" operator="containsText" text="(Low)">
      <formula>NOT(ISERROR(SEARCH("(Low)",AK17)))</formula>
    </cfRule>
    <cfRule type="containsText" dxfId="405" priority="178" operator="containsText" text="Moderate">
      <formula>NOT(ISERROR(SEARCH("Moderate",AK17)))</formula>
    </cfRule>
    <cfRule type="containsText" dxfId="404" priority="179" operator="containsText" text="(High)">
      <formula>NOT(ISERROR(SEARCH("(High)",AK17)))</formula>
    </cfRule>
    <cfRule type="containsText" dxfId="403" priority="180" operator="containsText" text="(Very High)">
      <formula>NOT(ISERROR(SEARCH("(Very High)",AK17)))</formula>
    </cfRule>
  </conditionalFormatting>
  <conditionalFormatting sqref="AP17">
    <cfRule type="containsText" dxfId="402" priority="171" operator="containsText" text="(Very Low)">
      <formula>NOT(ISERROR(SEARCH("(Very Low)",AP17)))</formula>
    </cfRule>
    <cfRule type="containsText" dxfId="401" priority="172" operator="containsText" text="(Low)">
      <formula>NOT(ISERROR(SEARCH("(Low)",AP17)))</formula>
    </cfRule>
    <cfRule type="containsText" dxfId="400" priority="173" operator="containsText" text="Moderate">
      <formula>NOT(ISERROR(SEARCH("Moderate",AP17)))</formula>
    </cfRule>
    <cfRule type="containsText" dxfId="399" priority="174" operator="containsText" text="(High)">
      <formula>NOT(ISERROR(SEARCH("(High)",AP17)))</formula>
    </cfRule>
    <cfRule type="containsText" dxfId="398" priority="175" operator="containsText" text="(Very High)">
      <formula>NOT(ISERROR(SEARCH("(Very High)",AP17)))</formula>
    </cfRule>
  </conditionalFormatting>
  <conditionalFormatting sqref="AS17">
    <cfRule type="containsText" dxfId="397" priority="166" operator="containsText" text="(Very Low)">
      <formula>NOT(ISERROR(SEARCH("(Very Low)",AS17)))</formula>
    </cfRule>
    <cfRule type="containsText" dxfId="396" priority="167" operator="containsText" text="(Low)">
      <formula>NOT(ISERROR(SEARCH("(Low)",AS17)))</formula>
    </cfRule>
    <cfRule type="containsText" dxfId="395" priority="168" operator="containsText" text="Moderate">
      <formula>NOT(ISERROR(SEARCH("Moderate",AS17)))</formula>
    </cfRule>
    <cfRule type="containsText" dxfId="394" priority="169" operator="containsText" text="(High)">
      <formula>NOT(ISERROR(SEARCH("(High)",AS17)))</formula>
    </cfRule>
    <cfRule type="containsText" dxfId="393" priority="170" operator="containsText" text="(Very High)">
      <formula>NOT(ISERROR(SEARCH("(Very High)",AS17)))</formula>
    </cfRule>
  </conditionalFormatting>
  <conditionalFormatting sqref="AS17">
    <cfRule type="expression" dxfId="392" priority="165">
      <formula>"if(AND($S$7&gt;=0,$S$7&lt;5)"</formula>
    </cfRule>
  </conditionalFormatting>
  <conditionalFormatting sqref="AW17">
    <cfRule type="containsText" dxfId="391" priority="160" operator="containsText" text="(Very Low)">
      <formula>NOT(ISERROR(SEARCH("(Very Low)",AW17)))</formula>
    </cfRule>
    <cfRule type="containsText" dxfId="390" priority="161" operator="containsText" text="(Low)">
      <formula>NOT(ISERROR(SEARCH("(Low)",AW17)))</formula>
    </cfRule>
    <cfRule type="containsText" dxfId="389" priority="162" operator="containsText" text="Moderate">
      <formula>NOT(ISERROR(SEARCH("Moderate",AW17)))</formula>
    </cfRule>
    <cfRule type="containsText" dxfId="388" priority="163" operator="containsText" text="(High)">
      <formula>NOT(ISERROR(SEARCH("(High)",AW17)))</formula>
    </cfRule>
    <cfRule type="containsText" dxfId="387" priority="164" operator="containsText" text="(Very High)">
      <formula>NOT(ISERROR(SEARCH("(Very High)",AW17)))</formula>
    </cfRule>
  </conditionalFormatting>
  <conditionalFormatting sqref="AY17">
    <cfRule type="containsText" dxfId="386" priority="155" operator="containsText" text="(Very Low)">
      <formula>NOT(ISERROR(SEARCH("(Very Low)",AY17)))</formula>
    </cfRule>
    <cfRule type="containsText" dxfId="385" priority="156" operator="containsText" text="(Low)">
      <formula>NOT(ISERROR(SEARCH("(Low)",AY17)))</formula>
    </cfRule>
    <cfRule type="containsText" dxfId="384" priority="157" operator="containsText" text="Moderate">
      <formula>NOT(ISERROR(SEARCH("Moderate",AY17)))</formula>
    </cfRule>
    <cfRule type="containsText" dxfId="383" priority="158" operator="containsText" text="(High)">
      <formula>NOT(ISERROR(SEARCH("(High)",AY17)))</formula>
    </cfRule>
    <cfRule type="containsText" dxfId="382" priority="159" operator="containsText" text="(Very High)">
      <formula>NOT(ISERROR(SEARCH("(Very High)",AY17)))</formula>
    </cfRule>
  </conditionalFormatting>
  <conditionalFormatting sqref="BA17">
    <cfRule type="containsText" dxfId="381" priority="150" operator="containsText" text="(Very Low)">
      <formula>NOT(ISERROR(SEARCH("(Very Low)",BA17)))</formula>
    </cfRule>
    <cfRule type="containsText" dxfId="380" priority="151" operator="containsText" text="(Low)">
      <formula>NOT(ISERROR(SEARCH("(Low)",BA17)))</formula>
    </cfRule>
    <cfRule type="containsText" dxfId="379" priority="152" operator="containsText" text="Moderate">
      <formula>NOT(ISERROR(SEARCH("Moderate",BA17)))</formula>
    </cfRule>
    <cfRule type="containsText" dxfId="378" priority="153" operator="containsText" text="(High)">
      <formula>NOT(ISERROR(SEARCH("(High)",BA17)))</formula>
    </cfRule>
    <cfRule type="containsText" dxfId="377" priority="154" operator="containsText" text="(Very High)">
      <formula>NOT(ISERROR(SEARCH("(Very High)",BA17)))</formula>
    </cfRule>
  </conditionalFormatting>
  <conditionalFormatting sqref="BK17">
    <cfRule type="containsText" dxfId="376" priority="145" operator="containsText" text="(Very Low)">
      <formula>NOT(ISERROR(SEARCH("(Very Low)",BK17)))</formula>
    </cfRule>
    <cfRule type="containsText" dxfId="375" priority="146" operator="containsText" text="(Low)">
      <formula>NOT(ISERROR(SEARCH("(Low)",BK17)))</formula>
    </cfRule>
    <cfRule type="containsText" dxfId="374" priority="147" operator="containsText" text="Moderate">
      <formula>NOT(ISERROR(SEARCH("Moderate",BK17)))</formula>
    </cfRule>
    <cfRule type="containsText" dxfId="373" priority="148" operator="containsText" text="(High)">
      <formula>NOT(ISERROR(SEARCH("(High)",BK17)))</formula>
    </cfRule>
    <cfRule type="containsText" dxfId="372" priority="149" operator="containsText" text="(Very High)">
      <formula>NOT(ISERROR(SEARCH("(Very High)",BK17)))</formula>
    </cfRule>
  </conditionalFormatting>
  <conditionalFormatting sqref="BG17">
    <cfRule type="expression" dxfId="371" priority="139">
      <formula>"if(AND($S$7&gt;=0,$S$7&lt;5)"</formula>
    </cfRule>
  </conditionalFormatting>
  <conditionalFormatting sqref="BG17">
    <cfRule type="containsText" dxfId="370" priority="140" operator="containsText" text="(Very Low)">
      <formula>NOT(ISERROR(SEARCH("(Very Low)",BG17)))</formula>
    </cfRule>
    <cfRule type="containsText" dxfId="369" priority="141" operator="containsText" text="(Low)">
      <formula>NOT(ISERROR(SEARCH("(Low)",BG17)))</formula>
    </cfRule>
    <cfRule type="containsText" dxfId="368" priority="142" operator="containsText" text="Moderate">
      <formula>NOT(ISERROR(SEARCH("Moderate",BG17)))</formula>
    </cfRule>
    <cfRule type="containsText" dxfId="367" priority="143" operator="containsText" text="(High)">
      <formula>NOT(ISERROR(SEARCH("(High)",BG17)))</formula>
    </cfRule>
    <cfRule type="containsText" dxfId="366" priority="144" operator="containsText" text="(Very High)">
      <formula>NOT(ISERROR(SEARCH("(Very High)",BG17)))</formula>
    </cfRule>
  </conditionalFormatting>
  <conditionalFormatting sqref="BE17">
    <cfRule type="containsText" dxfId="365" priority="134" operator="containsText" text="(Very Low)">
      <formula>NOT(ISERROR(SEARCH("(Very Low)",BE17)))</formula>
    </cfRule>
    <cfRule type="containsText" dxfId="364" priority="135" operator="containsText" text="(Low)">
      <formula>NOT(ISERROR(SEARCH("(Low)",BE17)))</formula>
    </cfRule>
    <cfRule type="containsText" dxfId="363" priority="136" operator="containsText" text="Moderate">
      <formula>NOT(ISERROR(SEARCH("Moderate",BE17)))</formula>
    </cfRule>
    <cfRule type="containsText" dxfId="362" priority="137" operator="containsText" text="(High)">
      <formula>NOT(ISERROR(SEARCH("(High)",BE17)))</formula>
    </cfRule>
    <cfRule type="containsText" dxfId="361" priority="138" operator="containsText" text="(Very High)">
      <formula>NOT(ISERROR(SEARCH("(Very High)",BE17)))</formula>
    </cfRule>
  </conditionalFormatting>
  <conditionalFormatting sqref="O17 R17 U17 X17">
    <cfRule type="containsText" dxfId="360" priority="183" operator="containsText" text="(Very Low)">
      <formula>NOT(ISERROR(SEARCH("(Very Low)",O17)))</formula>
    </cfRule>
    <cfRule type="containsText" dxfId="359" priority="184" operator="containsText" text="(Low)">
      <formula>NOT(ISERROR(SEARCH("(Low)",O17)))</formula>
    </cfRule>
    <cfRule type="containsText" dxfId="358" priority="185" operator="containsText" text="Moderate">
      <formula>NOT(ISERROR(SEARCH("Moderate",O17)))</formula>
    </cfRule>
    <cfRule type="containsText" dxfId="357" priority="186" operator="containsText" text="(High)">
      <formula>NOT(ISERROR(SEARCH("(High)",O17)))</formula>
    </cfRule>
    <cfRule type="containsText" dxfId="356" priority="187" operator="containsText" text="(Very High)">
      <formula>NOT(ISERROR(SEARCH("(Very High)",O17)))</formula>
    </cfRule>
  </conditionalFormatting>
  <conditionalFormatting sqref="Z17">
    <cfRule type="expression" dxfId="355" priority="129">
      <formula>AND(IF($Z$8&gt;=96,1,0),IF($Z$8&lt;=100,1,0))</formula>
    </cfRule>
    <cfRule type="expression" dxfId="354" priority="130">
      <formula>AND(IF($Z$8&gt;=80,1,0), IF($Z$8&lt;96,1,0))</formula>
    </cfRule>
    <cfRule type="expression" dxfId="353" priority="131">
      <formula>AND(IF($Z$8&gt;=21,1,0),IF($Z$8&lt;80,1,0))</formula>
    </cfRule>
    <cfRule type="expression" dxfId="352" priority="132">
      <formula>AND(IF($Z$8&gt;=5,1,0),IF($Z$8&lt;21,1,0))</formula>
    </cfRule>
    <cfRule type="expression" dxfId="351" priority="133">
      <formula>IF($Z$8 &lt; 5,1,0)</formula>
    </cfRule>
  </conditionalFormatting>
  <conditionalFormatting sqref="AG18">
    <cfRule type="expression" dxfId="350" priority="117">
      <formula>IF((1*$AG$8),0,1)</formula>
    </cfRule>
  </conditionalFormatting>
  <conditionalFormatting sqref="AK18">
    <cfRule type="containsText" dxfId="349" priority="112" operator="containsText" text="(Very Low)">
      <formula>NOT(ISERROR(SEARCH("(Very Low)",AK18)))</formula>
    </cfRule>
    <cfRule type="containsText" dxfId="348" priority="113" operator="containsText" text="(Low)">
      <formula>NOT(ISERROR(SEARCH("(Low)",AK18)))</formula>
    </cfRule>
    <cfRule type="containsText" dxfId="347" priority="114" operator="containsText" text="Moderate">
      <formula>NOT(ISERROR(SEARCH("Moderate",AK18)))</formula>
    </cfRule>
    <cfRule type="containsText" dxfId="346" priority="115" operator="containsText" text="(High)">
      <formula>NOT(ISERROR(SEARCH("(High)",AK18)))</formula>
    </cfRule>
    <cfRule type="containsText" dxfId="345" priority="116" operator="containsText" text="(Very High)">
      <formula>NOT(ISERROR(SEARCH("(Very High)",AK18)))</formula>
    </cfRule>
  </conditionalFormatting>
  <conditionalFormatting sqref="AP18">
    <cfRule type="containsText" dxfId="344" priority="107" operator="containsText" text="(Very Low)">
      <formula>NOT(ISERROR(SEARCH("(Very Low)",AP18)))</formula>
    </cfRule>
    <cfRule type="containsText" dxfId="343" priority="108" operator="containsText" text="(Low)">
      <formula>NOT(ISERROR(SEARCH("(Low)",AP18)))</formula>
    </cfRule>
    <cfRule type="containsText" dxfId="342" priority="109" operator="containsText" text="Moderate">
      <formula>NOT(ISERROR(SEARCH("Moderate",AP18)))</formula>
    </cfRule>
    <cfRule type="containsText" dxfId="341" priority="110" operator="containsText" text="(High)">
      <formula>NOT(ISERROR(SEARCH("(High)",AP18)))</formula>
    </cfRule>
    <cfRule type="containsText" dxfId="340" priority="111" operator="containsText" text="(Very High)">
      <formula>NOT(ISERROR(SEARCH("(Very High)",AP18)))</formula>
    </cfRule>
  </conditionalFormatting>
  <conditionalFormatting sqref="AS18">
    <cfRule type="containsText" dxfId="339" priority="102" operator="containsText" text="(Very Low)">
      <formula>NOT(ISERROR(SEARCH("(Very Low)",AS18)))</formula>
    </cfRule>
    <cfRule type="containsText" dxfId="338" priority="103" operator="containsText" text="(Low)">
      <formula>NOT(ISERROR(SEARCH("(Low)",AS18)))</formula>
    </cfRule>
    <cfRule type="containsText" dxfId="337" priority="104" operator="containsText" text="Moderate">
      <formula>NOT(ISERROR(SEARCH("Moderate",AS18)))</formula>
    </cfRule>
    <cfRule type="containsText" dxfId="336" priority="105" operator="containsText" text="(High)">
      <formula>NOT(ISERROR(SEARCH("(High)",AS18)))</formula>
    </cfRule>
    <cfRule type="containsText" dxfId="335" priority="106" operator="containsText" text="(Very High)">
      <formula>NOT(ISERROR(SEARCH("(Very High)",AS18)))</formula>
    </cfRule>
  </conditionalFormatting>
  <conditionalFormatting sqref="AS18">
    <cfRule type="expression" dxfId="334" priority="101">
      <formula>"if(AND($S$7&gt;=0,$S$7&lt;5)"</formula>
    </cfRule>
  </conditionalFormatting>
  <conditionalFormatting sqref="AW18">
    <cfRule type="containsText" dxfId="333" priority="96" operator="containsText" text="(Very Low)">
      <formula>NOT(ISERROR(SEARCH("(Very Low)",AW18)))</formula>
    </cfRule>
    <cfRule type="containsText" dxfId="332" priority="97" operator="containsText" text="(Low)">
      <formula>NOT(ISERROR(SEARCH("(Low)",AW18)))</formula>
    </cfRule>
    <cfRule type="containsText" dxfId="331" priority="98" operator="containsText" text="Moderate">
      <formula>NOT(ISERROR(SEARCH("Moderate",AW18)))</formula>
    </cfRule>
    <cfRule type="containsText" dxfId="330" priority="99" operator="containsText" text="(High)">
      <formula>NOT(ISERROR(SEARCH("(High)",AW18)))</formula>
    </cfRule>
    <cfRule type="containsText" dxfId="329" priority="100" operator="containsText" text="(Very High)">
      <formula>NOT(ISERROR(SEARCH("(Very High)",AW18)))</formula>
    </cfRule>
  </conditionalFormatting>
  <conditionalFormatting sqref="AY18">
    <cfRule type="containsText" dxfId="328" priority="91" operator="containsText" text="(Very Low)">
      <formula>NOT(ISERROR(SEARCH("(Very Low)",AY18)))</formula>
    </cfRule>
    <cfRule type="containsText" dxfId="327" priority="92" operator="containsText" text="(Low)">
      <formula>NOT(ISERROR(SEARCH("(Low)",AY18)))</formula>
    </cfRule>
    <cfRule type="containsText" dxfId="326" priority="93" operator="containsText" text="Moderate">
      <formula>NOT(ISERROR(SEARCH("Moderate",AY18)))</formula>
    </cfRule>
    <cfRule type="containsText" dxfId="325" priority="94" operator="containsText" text="(High)">
      <formula>NOT(ISERROR(SEARCH("(High)",AY18)))</formula>
    </cfRule>
    <cfRule type="containsText" dxfId="324" priority="95" operator="containsText" text="(Very High)">
      <formula>NOT(ISERROR(SEARCH("(Very High)",AY18)))</formula>
    </cfRule>
  </conditionalFormatting>
  <conditionalFormatting sqref="BA18">
    <cfRule type="containsText" dxfId="323" priority="86" operator="containsText" text="(Very Low)">
      <formula>NOT(ISERROR(SEARCH("(Very Low)",BA18)))</formula>
    </cfRule>
    <cfRule type="containsText" dxfId="322" priority="87" operator="containsText" text="(Low)">
      <formula>NOT(ISERROR(SEARCH("(Low)",BA18)))</formula>
    </cfRule>
    <cfRule type="containsText" dxfId="321" priority="88" operator="containsText" text="Moderate">
      <formula>NOT(ISERROR(SEARCH("Moderate",BA18)))</formula>
    </cfRule>
    <cfRule type="containsText" dxfId="320" priority="89" operator="containsText" text="(High)">
      <formula>NOT(ISERROR(SEARCH("(High)",BA18)))</formula>
    </cfRule>
    <cfRule type="containsText" dxfId="319" priority="90" operator="containsText" text="(Very High)">
      <formula>NOT(ISERROR(SEARCH("(Very High)",BA18)))</formula>
    </cfRule>
  </conditionalFormatting>
  <conditionalFormatting sqref="BK18">
    <cfRule type="containsText" dxfId="318" priority="81" operator="containsText" text="(Very Low)">
      <formula>NOT(ISERROR(SEARCH("(Very Low)",BK18)))</formula>
    </cfRule>
    <cfRule type="containsText" dxfId="317" priority="82" operator="containsText" text="(Low)">
      <formula>NOT(ISERROR(SEARCH("(Low)",BK18)))</formula>
    </cfRule>
    <cfRule type="containsText" dxfId="316" priority="83" operator="containsText" text="Moderate">
      <formula>NOT(ISERROR(SEARCH("Moderate",BK18)))</formula>
    </cfRule>
    <cfRule type="containsText" dxfId="315" priority="84" operator="containsText" text="(High)">
      <formula>NOT(ISERROR(SEARCH("(High)",BK18)))</formula>
    </cfRule>
    <cfRule type="containsText" dxfId="314" priority="85" operator="containsText" text="(Very High)">
      <formula>NOT(ISERROR(SEARCH("(Very High)",BK18)))</formula>
    </cfRule>
  </conditionalFormatting>
  <conditionalFormatting sqref="BG18">
    <cfRule type="expression" dxfId="313" priority="75">
      <formula>"if(AND($S$7&gt;=0,$S$7&lt;5)"</formula>
    </cfRule>
  </conditionalFormatting>
  <conditionalFormatting sqref="BG18">
    <cfRule type="containsText" dxfId="312" priority="76" operator="containsText" text="(Very Low)">
      <formula>NOT(ISERROR(SEARCH("(Very Low)",BG18)))</formula>
    </cfRule>
    <cfRule type="containsText" dxfId="311" priority="77" operator="containsText" text="(Low)">
      <formula>NOT(ISERROR(SEARCH("(Low)",BG18)))</formula>
    </cfRule>
    <cfRule type="containsText" dxfId="310" priority="78" operator="containsText" text="Moderate">
      <formula>NOT(ISERROR(SEARCH("Moderate",BG18)))</formula>
    </cfRule>
    <cfRule type="containsText" dxfId="309" priority="79" operator="containsText" text="(High)">
      <formula>NOT(ISERROR(SEARCH("(High)",BG18)))</formula>
    </cfRule>
    <cfRule type="containsText" dxfId="308" priority="80" operator="containsText" text="(Very High)">
      <formula>NOT(ISERROR(SEARCH("(Very High)",BG18)))</formula>
    </cfRule>
  </conditionalFormatting>
  <conditionalFormatting sqref="BE18">
    <cfRule type="containsText" dxfId="307" priority="70" operator="containsText" text="(Very Low)">
      <formula>NOT(ISERROR(SEARCH("(Very Low)",BE18)))</formula>
    </cfRule>
    <cfRule type="containsText" dxfId="306" priority="71" operator="containsText" text="(Low)">
      <formula>NOT(ISERROR(SEARCH("(Low)",BE18)))</formula>
    </cfRule>
    <cfRule type="containsText" dxfId="305" priority="72" operator="containsText" text="Moderate">
      <formula>NOT(ISERROR(SEARCH("Moderate",BE18)))</formula>
    </cfRule>
    <cfRule type="containsText" dxfId="304" priority="73" operator="containsText" text="(High)">
      <formula>NOT(ISERROR(SEARCH("(High)",BE18)))</formula>
    </cfRule>
    <cfRule type="containsText" dxfId="303" priority="74" operator="containsText" text="(Very High)">
      <formula>NOT(ISERROR(SEARCH("(Very High)",BE18)))</formula>
    </cfRule>
  </conditionalFormatting>
  <conditionalFormatting sqref="O18 R18 U18 X18">
    <cfRule type="containsText" dxfId="302" priority="119" operator="containsText" text="(Very Low)">
      <formula>NOT(ISERROR(SEARCH("(Very Low)",O18)))</formula>
    </cfRule>
    <cfRule type="containsText" dxfId="301" priority="120" operator="containsText" text="(Low)">
      <formula>NOT(ISERROR(SEARCH("(Low)",O18)))</formula>
    </cfRule>
    <cfRule type="containsText" dxfId="300" priority="121" operator="containsText" text="Moderate">
      <formula>NOT(ISERROR(SEARCH("Moderate",O18)))</formula>
    </cfRule>
    <cfRule type="containsText" dxfId="299" priority="122" operator="containsText" text="(High)">
      <formula>NOT(ISERROR(SEARCH("(High)",O18)))</formula>
    </cfRule>
    <cfRule type="containsText" dxfId="298" priority="123" operator="containsText" text="(Very High)">
      <formula>NOT(ISERROR(SEARCH("(Very High)",O18)))</formula>
    </cfRule>
  </conditionalFormatting>
  <conditionalFormatting sqref="Z18">
    <cfRule type="expression" dxfId="297" priority="65">
      <formula>AND(IF($Z$8&gt;=96,1,0),IF($Z$8&lt;=100,1,0))</formula>
    </cfRule>
    <cfRule type="expression" dxfId="296" priority="66">
      <formula>AND(IF($Z$8&gt;=80,1,0), IF($Z$8&lt;96,1,0))</formula>
    </cfRule>
    <cfRule type="expression" dxfId="295" priority="67">
      <formula>AND(IF($Z$8&gt;=21,1,0),IF($Z$8&lt;80,1,0))</formula>
    </cfRule>
    <cfRule type="expression" dxfId="294" priority="68">
      <formula>AND(IF($Z$8&gt;=5,1,0),IF($Z$8&lt;21,1,0))</formula>
    </cfRule>
    <cfRule type="expression" dxfId="293" priority="69">
      <formula>IF($Z$8 &lt; 5,1,0)</formula>
    </cfRule>
  </conditionalFormatting>
  <conditionalFormatting sqref="AG19">
    <cfRule type="expression" dxfId="292" priority="53">
      <formula>IF((1*$AG$8),0,1)</formula>
    </cfRule>
  </conditionalFormatting>
  <conditionalFormatting sqref="AK19">
    <cfRule type="containsText" dxfId="291" priority="48" operator="containsText" text="(Very Low)">
      <formula>NOT(ISERROR(SEARCH("(Very Low)",AK19)))</formula>
    </cfRule>
    <cfRule type="containsText" dxfId="290" priority="49" operator="containsText" text="(Low)">
      <formula>NOT(ISERROR(SEARCH("(Low)",AK19)))</formula>
    </cfRule>
    <cfRule type="containsText" dxfId="289" priority="50" operator="containsText" text="Moderate">
      <formula>NOT(ISERROR(SEARCH("Moderate",AK19)))</formula>
    </cfRule>
    <cfRule type="containsText" dxfId="288" priority="51" operator="containsText" text="(High)">
      <formula>NOT(ISERROR(SEARCH("(High)",AK19)))</formula>
    </cfRule>
    <cfRule type="containsText" dxfId="287" priority="52" operator="containsText" text="(Very High)">
      <formula>NOT(ISERROR(SEARCH("(Very High)",AK19)))</formula>
    </cfRule>
  </conditionalFormatting>
  <conditionalFormatting sqref="AP19">
    <cfRule type="containsText" dxfId="286" priority="43" operator="containsText" text="(Very Low)">
      <formula>NOT(ISERROR(SEARCH("(Very Low)",AP19)))</formula>
    </cfRule>
    <cfRule type="containsText" dxfId="285" priority="44" operator="containsText" text="(Low)">
      <formula>NOT(ISERROR(SEARCH("(Low)",AP19)))</formula>
    </cfRule>
    <cfRule type="containsText" dxfId="284" priority="45" operator="containsText" text="Moderate">
      <formula>NOT(ISERROR(SEARCH("Moderate",AP19)))</formula>
    </cfRule>
    <cfRule type="containsText" dxfId="283" priority="46" operator="containsText" text="(High)">
      <formula>NOT(ISERROR(SEARCH("(High)",AP19)))</formula>
    </cfRule>
    <cfRule type="containsText" dxfId="282" priority="47" operator="containsText" text="(Very High)">
      <formula>NOT(ISERROR(SEARCH("(Very High)",AP19)))</formula>
    </cfRule>
  </conditionalFormatting>
  <conditionalFormatting sqref="AS19">
    <cfRule type="containsText" dxfId="281" priority="38" operator="containsText" text="(Very Low)">
      <formula>NOT(ISERROR(SEARCH("(Very Low)",AS19)))</formula>
    </cfRule>
    <cfRule type="containsText" dxfId="280" priority="39" operator="containsText" text="(Low)">
      <formula>NOT(ISERROR(SEARCH("(Low)",AS19)))</formula>
    </cfRule>
    <cfRule type="containsText" dxfId="279" priority="40" operator="containsText" text="Moderate">
      <formula>NOT(ISERROR(SEARCH("Moderate",AS19)))</formula>
    </cfRule>
    <cfRule type="containsText" dxfId="278" priority="41" operator="containsText" text="(High)">
      <formula>NOT(ISERROR(SEARCH("(High)",AS19)))</formula>
    </cfRule>
    <cfRule type="containsText" dxfId="277" priority="42" operator="containsText" text="(Very High)">
      <formula>NOT(ISERROR(SEARCH("(Very High)",AS19)))</formula>
    </cfRule>
  </conditionalFormatting>
  <conditionalFormatting sqref="AS19">
    <cfRule type="expression" dxfId="276" priority="37">
      <formula>"if(AND($S$7&gt;=0,$S$7&lt;5)"</formula>
    </cfRule>
  </conditionalFormatting>
  <conditionalFormatting sqref="AW19">
    <cfRule type="containsText" dxfId="275" priority="32" operator="containsText" text="(Very Low)">
      <formula>NOT(ISERROR(SEARCH("(Very Low)",AW19)))</formula>
    </cfRule>
    <cfRule type="containsText" dxfId="274" priority="33" operator="containsText" text="(Low)">
      <formula>NOT(ISERROR(SEARCH("(Low)",AW19)))</formula>
    </cfRule>
    <cfRule type="containsText" dxfId="273" priority="34" operator="containsText" text="Moderate">
      <formula>NOT(ISERROR(SEARCH("Moderate",AW19)))</formula>
    </cfRule>
    <cfRule type="containsText" dxfId="272" priority="35" operator="containsText" text="(High)">
      <formula>NOT(ISERROR(SEARCH("(High)",AW19)))</formula>
    </cfRule>
    <cfRule type="containsText" dxfId="271" priority="36" operator="containsText" text="(Very High)">
      <formula>NOT(ISERROR(SEARCH("(Very High)",AW19)))</formula>
    </cfRule>
  </conditionalFormatting>
  <conditionalFormatting sqref="AY19">
    <cfRule type="containsText" dxfId="270" priority="27" operator="containsText" text="(Very Low)">
      <formula>NOT(ISERROR(SEARCH("(Very Low)",AY19)))</formula>
    </cfRule>
    <cfRule type="containsText" dxfId="269" priority="28" operator="containsText" text="(Low)">
      <formula>NOT(ISERROR(SEARCH("(Low)",AY19)))</formula>
    </cfRule>
    <cfRule type="containsText" dxfId="268" priority="29" operator="containsText" text="Moderate">
      <formula>NOT(ISERROR(SEARCH("Moderate",AY19)))</formula>
    </cfRule>
    <cfRule type="containsText" dxfId="267" priority="30" operator="containsText" text="(High)">
      <formula>NOT(ISERROR(SEARCH("(High)",AY19)))</formula>
    </cfRule>
    <cfRule type="containsText" dxfId="266" priority="31" operator="containsText" text="(Very High)">
      <formula>NOT(ISERROR(SEARCH("(Very High)",AY19)))</formula>
    </cfRule>
  </conditionalFormatting>
  <conditionalFormatting sqref="BA19">
    <cfRule type="containsText" dxfId="265" priority="22" operator="containsText" text="(Very Low)">
      <formula>NOT(ISERROR(SEARCH("(Very Low)",BA19)))</formula>
    </cfRule>
    <cfRule type="containsText" dxfId="264" priority="23" operator="containsText" text="(Low)">
      <formula>NOT(ISERROR(SEARCH("(Low)",BA19)))</formula>
    </cfRule>
    <cfRule type="containsText" dxfId="263" priority="24" operator="containsText" text="Moderate">
      <formula>NOT(ISERROR(SEARCH("Moderate",BA19)))</formula>
    </cfRule>
    <cfRule type="containsText" dxfId="262" priority="25" operator="containsText" text="(High)">
      <formula>NOT(ISERROR(SEARCH("(High)",BA19)))</formula>
    </cfRule>
    <cfRule type="containsText" dxfId="261" priority="26" operator="containsText" text="(Very High)">
      <formula>NOT(ISERROR(SEARCH("(Very High)",BA19)))</formula>
    </cfRule>
  </conditionalFormatting>
  <conditionalFormatting sqref="BK19">
    <cfRule type="containsText" dxfId="260" priority="17" operator="containsText" text="(Very Low)">
      <formula>NOT(ISERROR(SEARCH("(Very Low)",BK19)))</formula>
    </cfRule>
    <cfRule type="containsText" dxfId="259" priority="18" operator="containsText" text="(Low)">
      <formula>NOT(ISERROR(SEARCH("(Low)",BK19)))</formula>
    </cfRule>
    <cfRule type="containsText" dxfId="258" priority="19" operator="containsText" text="Moderate">
      <formula>NOT(ISERROR(SEARCH("Moderate",BK19)))</formula>
    </cfRule>
    <cfRule type="containsText" dxfId="257" priority="20" operator="containsText" text="(High)">
      <formula>NOT(ISERROR(SEARCH("(High)",BK19)))</formula>
    </cfRule>
    <cfRule type="containsText" dxfId="256" priority="21" operator="containsText" text="(Very High)">
      <formula>NOT(ISERROR(SEARCH("(Very High)",BK19)))</formula>
    </cfRule>
  </conditionalFormatting>
  <conditionalFormatting sqref="BG19">
    <cfRule type="expression" dxfId="255" priority="11">
      <formula>"if(AND($S$7&gt;=0,$S$7&lt;5)"</formula>
    </cfRule>
  </conditionalFormatting>
  <conditionalFormatting sqref="BG19">
    <cfRule type="containsText" dxfId="254" priority="12" operator="containsText" text="(Very Low)">
      <formula>NOT(ISERROR(SEARCH("(Very Low)",BG19)))</formula>
    </cfRule>
    <cfRule type="containsText" dxfId="253" priority="13" operator="containsText" text="(Low)">
      <formula>NOT(ISERROR(SEARCH("(Low)",BG19)))</formula>
    </cfRule>
    <cfRule type="containsText" dxfId="252" priority="14" operator="containsText" text="Moderate">
      <formula>NOT(ISERROR(SEARCH("Moderate",BG19)))</formula>
    </cfRule>
    <cfRule type="containsText" dxfId="251" priority="15" operator="containsText" text="(High)">
      <formula>NOT(ISERROR(SEARCH("(High)",BG19)))</formula>
    </cfRule>
    <cfRule type="containsText" dxfId="250" priority="16" operator="containsText" text="(Very High)">
      <formula>NOT(ISERROR(SEARCH("(Very High)",BG19)))</formula>
    </cfRule>
  </conditionalFormatting>
  <conditionalFormatting sqref="BE19">
    <cfRule type="containsText" dxfId="249" priority="6" operator="containsText" text="(Very Low)">
      <formula>NOT(ISERROR(SEARCH("(Very Low)",BE19)))</formula>
    </cfRule>
    <cfRule type="containsText" dxfId="248" priority="7" operator="containsText" text="(Low)">
      <formula>NOT(ISERROR(SEARCH("(Low)",BE19)))</formula>
    </cfRule>
    <cfRule type="containsText" dxfId="247" priority="8" operator="containsText" text="Moderate">
      <formula>NOT(ISERROR(SEARCH("Moderate",BE19)))</formula>
    </cfRule>
    <cfRule type="containsText" dxfId="246" priority="9" operator="containsText" text="(High)">
      <formula>NOT(ISERROR(SEARCH("(High)",BE19)))</formula>
    </cfRule>
    <cfRule type="containsText" dxfId="245" priority="10" operator="containsText" text="(Very High)">
      <formula>NOT(ISERROR(SEARCH("(Very High)",BE19)))</formula>
    </cfRule>
  </conditionalFormatting>
  <conditionalFormatting sqref="O19 R19 U19 X19">
    <cfRule type="containsText" dxfId="244" priority="55" operator="containsText" text="(Very Low)">
      <formula>NOT(ISERROR(SEARCH("(Very Low)",O19)))</formula>
    </cfRule>
    <cfRule type="containsText" dxfId="243" priority="56" operator="containsText" text="(Low)">
      <formula>NOT(ISERROR(SEARCH("(Low)",O19)))</formula>
    </cfRule>
    <cfRule type="containsText" dxfId="242" priority="57" operator="containsText" text="Moderate">
      <formula>NOT(ISERROR(SEARCH("Moderate",O19)))</formula>
    </cfRule>
    <cfRule type="containsText" dxfId="241" priority="58" operator="containsText" text="(High)">
      <formula>NOT(ISERROR(SEARCH("(High)",O19)))</formula>
    </cfRule>
    <cfRule type="containsText" dxfId="240" priority="59" operator="containsText" text="(Very High)">
      <formula>NOT(ISERROR(SEARCH("(Very High)",O19)))</formula>
    </cfRule>
  </conditionalFormatting>
  <conditionalFormatting sqref="Z19">
    <cfRule type="expression" dxfId="239" priority="1">
      <formula>AND(IF($Z$8&gt;=96,1,0),IF($Z$8&lt;=100,1,0))</formula>
    </cfRule>
    <cfRule type="expression" dxfId="238" priority="2">
      <formula>AND(IF($Z$8&gt;=80,1,0), IF($Z$8&lt;96,1,0))</formula>
    </cfRule>
    <cfRule type="expression" dxfId="237" priority="3">
      <formula>AND(IF($Z$8&gt;=21,1,0),IF($Z$8&lt;80,1,0))</formula>
    </cfRule>
    <cfRule type="expression" dxfId="236" priority="4">
      <formula>AND(IF($Z$8&gt;=5,1,0),IF($Z$8&lt;21,1,0))</formula>
    </cfRule>
    <cfRule type="expression" dxfId="235" priority="5">
      <formula>IF($Z$8 &lt; 5,1,0)</formula>
    </cfRule>
  </conditionalFormatting>
  <dataValidations count="4">
    <dataValidation allowBlank="1" showErrorMessage="1" sqref="BN8 BN16:BO16 AV16:AV19 BN17:BN19 AV8" xr:uid="{00000000-0002-0000-0000-000000000000}"/>
    <dataValidation allowBlank="1" sqref="BP16:BQ16" xr:uid="{00000000-0002-0000-0000-000001000000}"/>
    <dataValidation type="list" allowBlank="1" showInputMessage="1" showErrorMessage="1" sqref="D16" xr:uid="{00000000-0002-0000-0000-000002000000}">
      <formula1>#REF!</formula1>
    </dataValidation>
    <dataValidation type="list" allowBlank="1" showInputMessage="1" showErrorMessage="1" sqref="AT16 BG16" xr:uid="{00000000-0002-0000-0000-000003000000}">
      <formula1>$R$6:$R$6</formula1>
    </dataValidation>
  </dataValidations>
  <hyperlinks>
    <hyperlink ref="G12" r:id="rId1" xr:uid="{00000000-0004-0000-0000-000000000000}"/>
  </hyperlinks>
  <pageMargins left="0.7" right="0.7" top="0.75" bottom="0.75" header="0.3" footer="0.3"/>
  <pageSetup paperSize="8450" orientation="landscape" r:id="rId2"/>
  <drawing r:id="rId3"/>
  <extLst>
    <ext xmlns:x14="http://schemas.microsoft.com/office/spreadsheetml/2009/9/main" uri="{78C0D931-6437-407d-A8EE-F0AAD7539E65}">
      <x14:conditionalFormattings>
        <x14:conditionalFormatting xmlns:xm="http://schemas.microsoft.com/office/excel/2006/main">
          <x14:cfRule type="expression" priority="2673" id="{E06549C2-3B0C-4A02-A3C4-0275EC7A9FF4}">
            <xm:f>IF(MATCH($L$8,'D2'!$C$8:$F$8,0)&lt;&gt;SUM(IF(_xlfn.IFNA(MATCH($M$8,'D2'!$C$41:$C$80,0),0), 1,0), IF(_xlfn.IFNA(MATCH($M$8,'D2'!$D$41:$D$80,0),0),2,0), IF(_xlfn.IFNA(MATCH($M$8,'D2'!$E$41:$E$80,0),0),3,0), IF(_xlfn.IFNA(MATCH($M$8,'D2'!$F$41:$F$80,0),0),4,0) ),1,0)</xm:f>
            <x14:dxf>
              <fill>
                <patternFill>
                  <bgColor rgb="FFFFC000"/>
                </patternFill>
              </fill>
            </x14:dxf>
          </x14:cfRule>
          <xm:sqref>M8</xm:sqref>
        </x14:conditionalFormatting>
        <x14:conditionalFormatting xmlns:xm="http://schemas.microsoft.com/office/excel/2006/main">
          <x14:cfRule type="containsText" priority="2897" operator="containsText" text="(Very Low)" id="{AAC83643-D43A-4CC7-B938-E682EDC490B8}">
            <xm:f>NOT(ISERROR(SEARCH("(Very Low)",'E4'!#REF!)))</xm:f>
            <x14:dxf>
              <font>
                <b/>
                <i val="0"/>
              </font>
              <fill>
                <patternFill>
                  <bgColor rgb="FF92D050"/>
                </patternFill>
              </fill>
            </x14:dxf>
          </x14:cfRule>
          <x14:cfRule type="containsText" priority="2898" operator="containsText" text="(Low)" id="{4B3DF161-AC56-4941-A2D0-03112A38A30F}">
            <xm:f>NOT(ISERROR(SEARCH("(Low)",'E4'!#REF!)))</xm:f>
            <x14:dxf>
              <font>
                <b/>
                <i val="0"/>
              </font>
              <fill>
                <patternFill>
                  <bgColor theme="9" tint="0.59996337778862885"/>
                </patternFill>
              </fill>
            </x14:dxf>
          </x14:cfRule>
          <x14:cfRule type="containsText" priority="2899" operator="containsText" text="Moderate" id="{DA6C9574-D866-40EE-B3AC-5E9E1CCC252E}">
            <xm:f>NOT(ISERROR(SEARCH("Moderate",'E4'!#REF!)))</xm:f>
            <x14:dxf>
              <font>
                <b/>
                <i val="0"/>
              </font>
              <fill>
                <patternFill>
                  <bgColor rgb="FFFFFF00"/>
                </patternFill>
              </fill>
            </x14:dxf>
          </x14:cfRule>
          <x14:cfRule type="containsText" priority="2900" operator="containsText" text="(High)" id="{D30BBF45-1378-45A7-B43D-193B1E2C7B50}">
            <xm:f>NOT(ISERROR(SEARCH("(High)",'E4'!#REF!)))</xm:f>
            <x14:dxf>
              <font>
                <b/>
                <i val="0"/>
              </font>
              <fill>
                <patternFill>
                  <bgColor rgb="FFFF7C80"/>
                </patternFill>
              </fill>
            </x14:dxf>
          </x14:cfRule>
          <x14:cfRule type="containsText" priority="2901" operator="containsText" text="(Very High)" id="{3766DDE3-68FF-47DD-9970-770354559666}">
            <xm:f>NOT(ISERROR(SEARCH("(Very High)",'E4'!#REF!)))</xm:f>
            <x14:dxf>
              <font>
                <b/>
                <i val="0"/>
              </font>
              <fill>
                <patternFill>
                  <bgColor rgb="FFFF0000"/>
                </patternFill>
              </fill>
            </x14:dxf>
          </x14:cfRule>
          <xm:sqref>AF8</xm:sqref>
        </x14:conditionalFormatting>
        <x14:conditionalFormatting xmlns:xm="http://schemas.microsoft.com/office/excel/2006/main">
          <x14:cfRule type="expression" priority="583" id="{65B5FCCA-A6B5-4BA1-8444-3D76027FA9B6}">
            <xm:f>IF(MATCH($L$8,'D2'!$C$8:$F$8,0)&lt;&gt;SUM(IF(_xlfn.IFNA(MATCH($M$8,'D2'!$C$41:$C$80,0),0), 1,0), IF(_xlfn.IFNA(MATCH($M$8,'D2'!$D$41:$D$80,0),0),2,0), IF(_xlfn.IFNA(MATCH($M$8,'D2'!$E$41:$E$80,0),0),3,0), IF(_xlfn.IFNA(MATCH($M$8,'D2'!$F$41:$F$80,0),0),4,0) ),1,0)</xm:f>
            <x14:dxf>
              <fill>
                <patternFill>
                  <bgColor rgb="FFFFC000"/>
                </patternFill>
              </fill>
            </x14:dxf>
          </x14:cfRule>
          <xm:sqref>M16</xm:sqref>
        </x14:conditionalFormatting>
        <x14:conditionalFormatting xmlns:xm="http://schemas.microsoft.com/office/excel/2006/main">
          <x14:cfRule type="containsText" priority="589" operator="containsText" text="(Very Low)" id="{6D938EBA-E5DC-438C-B33B-D1ACB50D8F6D}">
            <xm:f>NOT(ISERROR(SEARCH("(Very Low)",'E4'!#REF!)))</xm:f>
            <x14:dxf>
              <font>
                <b/>
                <i val="0"/>
              </font>
              <fill>
                <patternFill>
                  <bgColor rgb="FF92D050"/>
                </patternFill>
              </fill>
            </x14:dxf>
          </x14:cfRule>
          <x14:cfRule type="containsText" priority="590" operator="containsText" text="(Low)" id="{5164550E-F075-4240-8DCC-F2CC8D8C5593}">
            <xm:f>NOT(ISERROR(SEARCH("(Low)",'E4'!#REF!)))</xm:f>
            <x14:dxf>
              <font>
                <b/>
                <i val="0"/>
              </font>
              <fill>
                <patternFill>
                  <bgColor theme="9" tint="0.59996337778862885"/>
                </patternFill>
              </fill>
            </x14:dxf>
          </x14:cfRule>
          <x14:cfRule type="containsText" priority="591" operator="containsText" text="Moderate" id="{D7304603-87A8-4845-A339-EAA03797CFF4}">
            <xm:f>NOT(ISERROR(SEARCH("Moderate",'E4'!#REF!)))</xm:f>
            <x14:dxf>
              <font>
                <b/>
                <i val="0"/>
              </font>
              <fill>
                <patternFill>
                  <bgColor rgb="FFFFFF00"/>
                </patternFill>
              </fill>
            </x14:dxf>
          </x14:cfRule>
          <x14:cfRule type="containsText" priority="592" operator="containsText" text="(High)" id="{B1477F3A-194A-4F40-8B13-1F6102C94241}">
            <xm:f>NOT(ISERROR(SEARCH("(High)",'E4'!#REF!)))</xm:f>
            <x14:dxf>
              <font>
                <b/>
                <i val="0"/>
              </font>
              <fill>
                <patternFill>
                  <bgColor rgb="FFFF7C80"/>
                </patternFill>
              </fill>
            </x14:dxf>
          </x14:cfRule>
          <x14:cfRule type="containsText" priority="593" operator="containsText" text="(Very High)" id="{4AEA2B2F-3A4F-408B-AF09-07A410CEB6BB}">
            <xm:f>NOT(ISERROR(SEARCH("(Very High)",'E4'!#REF!)))</xm:f>
            <x14:dxf>
              <font>
                <b/>
                <i val="0"/>
              </font>
              <fill>
                <patternFill>
                  <bgColor rgb="FFFF0000"/>
                </patternFill>
              </fill>
            </x14:dxf>
          </x14:cfRule>
          <xm:sqref>AF16:AG16</xm:sqref>
        </x14:conditionalFormatting>
        <x14:conditionalFormatting xmlns:xm="http://schemas.microsoft.com/office/excel/2006/main">
          <x14:cfRule type="expression" priority="182" id="{4E96D61F-0D66-4B1B-B6CF-D0E275E75079}">
            <xm:f>IF(MATCH($L$8,'D2'!$C$8:$F$8,0)&lt;&gt;SUM(IF(_xlfn.IFNA(MATCH($M$8,'D2'!$C$41:$C$80,0),0), 1,0), IF(_xlfn.IFNA(MATCH($M$8,'D2'!$D$41:$D$80,0),0),2,0), IF(_xlfn.IFNA(MATCH($M$8,'D2'!$E$41:$E$80,0),0),3,0), IF(_xlfn.IFNA(MATCH($M$8,'D2'!$F$41:$F$80,0),0),4,0) ),1,0)</xm:f>
            <x14:dxf>
              <fill>
                <patternFill>
                  <bgColor rgb="FFFFC000"/>
                </patternFill>
              </fill>
            </x14:dxf>
          </x14:cfRule>
          <xm:sqref>M17</xm:sqref>
        </x14:conditionalFormatting>
        <x14:conditionalFormatting xmlns:xm="http://schemas.microsoft.com/office/excel/2006/main">
          <x14:cfRule type="containsText" priority="188" operator="containsText" text="(Very Low)" id="{DEE6E458-3605-455D-8067-A110412B4B9E}">
            <xm:f>NOT(ISERROR(SEARCH("(Very Low)",'E4'!#REF!)))</xm:f>
            <x14:dxf>
              <font>
                <b/>
                <i val="0"/>
              </font>
              <fill>
                <patternFill>
                  <bgColor rgb="FF92D050"/>
                </patternFill>
              </fill>
            </x14:dxf>
          </x14:cfRule>
          <x14:cfRule type="containsText" priority="189" operator="containsText" text="(Low)" id="{70AE216F-AED9-4121-88F7-7210886EC0C4}">
            <xm:f>NOT(ISERROR(SEARCH("(Low)",'E4'!#REF!)))</xm:f>
            <x14:dxf>
              <font>
                <b/>
                <i val="0"/>
              </font>
              <fill>
                <patternFill>
                  <bgColor theme="9" tint="0.59996337778862885"/>
                </patternFill>
              </fill>
            </x14:dxf>
          </x14:cfRule>
          <x14:cfRule type="containsText" priority="190" operator="containsText" text="Moderate" id="{175FF2E9-508C-49E2-AE2E-D279667B63DF}">
            <xm:f>NOT(ISERROR(SEARCH("Moderate",'E4'!#REF!)))</xm:f>
            <x14:dxf>
              <font>
                <b/>
                <i val="0"/>
              </font>
              <fill>
                <patternFill>
                  <bgColor rgb="FFFFFF00"/>
                </patternFill>
              </fill>
            </x14:dxf>
          </x14:cfRule>
          <x14:cfRule type="containsText" priority="191" operator="containsText" text="(High)" id="{F6DD7CEB-5775-4ADC-B32A-AD7D840FD0F5}">
            <xm:f>NOT(ISERROR(SEARCH("(High)",'E4'!#REF!)))</xm:f>
            <x14:dxf>
              <font>
                <b/>
                <i val="0"/>
              </font>
              <fill>
                <patternFill>
                  <bgColor rgb="FFFF7C80"/>
                </patternFill>
              </fill>
            </x14:dxf>
          </x14:cfRule>
          <x14:cfRule type="containsText" priority="192" operator="containsText" text="(Very High)" id="{AF32D2BC-5C59-4506-A1D7-F52AFFA2555C}">
            <xm:f>NOT(ISERROR(SEARCH("(Very High)",'E4'!#REF!)))</xm:f>
            <x14:dxf>
              <font>
                <b/>
                <i val="0"/>
              </font>
              <fill>
                <patternFill>
                  <bgColor rgb="FFFF0000"/>
                </patternFill>
              </fill>
            </x14:dxf>
          </x14:cfRule>
          <xm:sqref>AF17</xm:sqref>
        </x14:conditionalFormatting>
        <x14:conditionalFormatting xmlns:xm="http://schemas.microsoft.com/office/excel/2006/main">
          <x14:cfRule type="expression" priority="118" id="{314EDF14-8BC4-42E1-8DEE-BD90886E156B}">
            <xm:f>IF(MATCH($L$8,'D2'!$C$8:$F$8,0)&lt;&gt;SUM(IF(_xlfn.IFNA(MATCH($M$8,'D2'!$C$41:$C$80,0),0), 1,0), IF(_xlfn.IFNA(MATCH($M$8,'D2'!$D$41:$D$80,0),0),2,0), IF(_xlfn.IFNA(MATCH($M$8,'D2'!$E$41:$E$80,0),0),3,0), IF(_xlfn.IFNA(MATCH($M$8,'D2'!$F$41:$F$80,0),0),4,0) ),1,0)</xm:f>
            <x14:dxf>
              <fill>
                <patternFill>
                  <bgColor rgb="FFFFC000"/>
                </patternFill>
              </fill>
            </x14:dxf>
          </x14:cfRule>
          <xm:sqref>M18</xm:sqref>
        </x14:conditionalFormatting>
        <x14:conditionalFormatting xmlns:xm="http://schemas.microsoft.com/office/excel/2006/main">
          <x14:cfRule type="containsText" priority="124" operator="containsText" text="(Very Low)" id="{4FF2E6B7-BB15-4637-B6EE-5908F28AB3FD}">
            <xm:f>NOT(ISERROR(SEARCH("(Very Low)",'E4'!#REF!)))</xm:f>
            <x14:dxf>
              <font>
                <b/>
                <i val="0"/>
              </font>
              <fill>
                <patternFill>
                  <bgColor rgb="FF92D050"/>
                </patternFill>
              </fill>
            </x14:dxf>
          </x14:cfRule>
          <x14:cfRule type="containsText" priority="125" operator="containsText" text="(Low)" id="{EAA49A09-3DA5-46B6-B201-08E1F0851C49}">
            <xm:f>NOT(ISERROR(SEARCH("(Low)",'E4'!#REF!)))</xm:f>
            <x14:dxf>
              <font>
                <b/>
                <i val="0"/>
              </font>
              <fill>
                <patternFill>
                  <bgColor theme="9" tint="0.59996337778862885"/>
                </patternFill>
              </fill>
            </x14:dxf>
          </x14:cfRule>
          <x14:cfRule type="containsText" priority="126" operator="containsText" text="Moderate" id="{FDD9969F-C1DB-4654-9810-1B70C0FDF0D4}">
            <xm:f>NOT(ISERROR(SEARCH("Moderate",'E4'!#REF!)))</xm:f>
            <x14:dxf>
              <font>
                <b/>
                <i val="0"/>
              </font>
              <fill>
                <patternFill>
                  <bgColor rgb="FFFFFF00"/>
                </patternFill>
              </fill>
            </x14:dxf>
          </x14:cfRule>
          <x14:cfRule type="containsText" priority="127" operator="containsText" text="(High)" id="{CF7AB942-322E-4BE8-B169-8D64A2D11ACC}">
            <xm:f>NOT(ISERROR(SEARCH("(High)",'E4'!#REF!)))</xm:f>
            <x14:dxf>
              <font>
                <b/>
                <i val="0"/>
              </font>
              <fill>
                <patternFill>
                  <bgColor rgb="FFFF7C80"/>
                </patternFill>
              </fill>
            </x14:dxf>
          </x14:cfRule>
          <x14:cfRule type="containsText" priority="128" operator="containsText" text="(Very High)" id="{5D5CE930-2EB9-4A9E-939D-70FBC98AD415}">
            <xm:f>NOT(ISERROR(SEARCH("(Very High)",'E4'!#REF!)))</xm:f>
            <x14:dxf>
              <font>
                <b/>
                <i val="0"/>
              </font>
              <fill>
                <patternFill>
                  <bgColor rgb="FFFF0000"/>
                </patternFill>
              </fill>
            </x14:dxf>
          </x14:cfRule>
          <xm:sqref>AF18</xm:sqref>
        </x14:conditionalFormatting>
        <x14:conditionalFormatting xmlns:xm="http://schemas.microsoft.com/office/excel/2006/main">
          <x14:cfRule type="expression" priority="54" id="{D139D36C-225F-4CA3-9199-309C73055489}">
            <xm:f>IF(MATCH($L$8,'D2'!$C$8:$F$8,0)&lt;&gt;SUM(IF(_xlfn.IFNA(MATCH($M$8,'D2'!$C$41:$C$80,0),0), 1,0), IF(_xlfn.IFNA(MATCH($M$8,'D2'!$D$41:$D$80,0),0),2,0), IF(_xlfn.IFNA(MATCH($M$8,'D2'!$E$41:$E$80,0),0),3,0), IF(_xlfn.IFNA(MATCH($M$8,'D2'!$F$41:$F$80,0),0),4,0) ),1,0)</xm:f>
            <x14:dxf>
              <fill>
                <patternFill>
                  <bgColor rgb="FFFFC000"/>
                </patternFill>
              </fill>
            </x14:dxf>
          </x14:cfRule>
          <xm:sqref>M19</xm:sqref>
        </x14:conditionalFormatting>
        <x14:conditionalFormatting xmlns:xm="http://schemas.microsoft.com/office/excel/2006/main">
          <x14:cfRule type="containsText" priority="60" operator="containsText" text="(Very Low)" id="{FFCB41B9-A8C0-495E-BC43-F95AF4333648}">
            <xm:f>NOT(ISERROR(SEARCH("(Very Low)",'E4'!#REF!)))</xm:f>
            <x14:dxf>
              <font>
                <b/>
                <i val="0"/>
              </font>
              <fill>
                <patternFill>
                  <bgColor rgb="FF92D050"/>
                </patternFill>
              </fill>
            </x14:dxf>
          </x14:cfRule>
          <x14:cfRule type="containsText" priority="61" operator="containsText" text="(Low)" id="{5C168BD6-4044-49F5-8556-B374DEF2B33A}">
            <xm:f>NOT(ISERROR(SEARCH("(Low)",'E4'!#REF!)))</xm:f>
            <x14:dxf>
              <font>
                <b/>
                <i val="0"/>
              </font>
              <fill>
                <patternFill>
                  <bgColor theme="9" tint="0.59996337778862885"/>
                </patternFill>
              </fill>
            </x14:dxf>
          </x14:cfRule>
          <x14:cfRule type="containsText" priority="62" operator="containsText" text="Moderate" id="{9D26516D-A1BB-42CC-BDDC-93557B3B7DF6}">
            <xm:f>NOT(ISERROR(SEARCH("Moderate",'E4'!#REF!)))</xm:f>
            <x14:dxf>
              <font>
                <b/>
                <i val="0"/>
              </font>
              <fill>
                <patternFill>
                  <bgColor rgb="FFFFFF00"/>
                </patternFill>
              </fill>
            </x14:dxf>
          </x14:cfRule>
          <x14:cfRule type="containsText" priority="63" operator="containsText" text="(High)" id="{8A857C8D-3A09-4CCF-9053-49A2FF5D4B5D}">
            <xm:f>NOT(ISERROR(SEARCH("(High)",'E4'!#REF!)))</xm:f>
            <x14:dxf>
              <font>
                <b/>
                <i val="0"/>
              </font>
              <fill>
                <patternFill>
                  <bgColor rgb="FFFF7C80"/>
                </patternFill>
              </fill>
            </x14:dxf>
          </x14:cfRule>
          <x14:cfRule type="containsText" priority="64" operator="containsText" text="(Very High)" id="{A4C28D2A-AC51-4162-8E44-3A0ED877BB35}">
            <xm:f>NOT(ISERROR(SEARCH("(Very High)",'E4'!#REF!)))</xm:f>
            <x14:dxf>
              <font>
                <b/>
                <i val="0"/>
              </font>
              <fill>
                <patternFill>
                  <bgColor rgb="FFFF0000"/>
                </patternFill>
              </fill>
            </x14:dxf>
          </x14:cfRule>
          <xm:sqref>AF19</xm:sqref>
        </x14:conditionalFormatting>
      </x14:conditionalFormattings>
    </ext>
    <ext xmlns:x14="http://schemas.microsoft.com/office/spreadsheetml/2009/9/main" uri="{CCE6A557-97BC-4b89-ADB6-D9C93CAAB3DF}">
      <x14:dataValidations xmlns:xm="http://schemas.microsoft.com/office/excel/2006/main" count="94">
        <x14:dataValidation type="list" allowBlank="1" xr:uid="{00000000-0002-0000-0000-000004000000}">
          <x14:formula1>
            <xm:f>'D3'!$Z$30:$Z$31</xm:f>
          </x14:formula1>
          <xm:sqref>P16:Q16</xm:sqref>
        </x14:dataValidation>
        <x14:dataValidation type="list" allowBlank="1" showInputMessage="1" showErrorMessage="1" xr:uid="{00000000-0002-0000-0000-000005000000}">
          <x14:formula1>
            <xm:f>Settings!#REF!</xm:f>
          </x14:formula1>
          <xm:sqref>AA16</xm:sqref>
        </x14:dataValidation>
        <x14:dataValidation type="list" allowBlank="1" showInputMessage="1" showErrorMessage="1" xr:uid="{00000000-0002-0000-0000-000006000000}">
          <x14:formula1>
            <xm:f>Settings!$E$6:$E$7</xm:f>
          </x14:formula1>
          <xm:sqref>C16</xm:sqref>
        </x14:dataValidation>
        <x14:dataValidation type="list" showInputMessage="1" xr:uid="{00000000-0002-0000-0000-000007000000}">
          <x14:formula1>
            <xm:f>Settings!$E$6:$E$7</xm:f>
          </x14:formula1>
          <xm:sqref>C8 C17:C19</xm:sqref>
        </x14:dataValidation>
        <x14:dataValidation type="list" allowBlank="1" showInputMessage="1" showErrorMessage="1" xr:uid="{00000000-0002-0000-0000-000008000000}">
          <x14:formula1>
            <xm:f>Settings!$G$6:$G$15</xm:f>
          </x14:formula1>
          <xm:sqref>D8 D17:D19</xm:sqref>
        </x14:dataValidation>
        <x14:dataValidation type="list" allowBlank="1" showInputMessage="1" xr:uid="{00000000-0002-0000-0000-000009000000}">
          <x14:formula1>
            <xm:f>Settings!$Y$6:$Y$7</xm:f>
          </x14:formula1>
          <xm:sqref>AG8 AG17:AG19</xm:sqref>
        </x14:dataValidation>
        <x14:dataValidation type="list" allowBlank="1" xr:uid="{00000000-0002-0000-0000-00000A000000}">
          <x14:formula1>
            <xm:f>Settings!$AC$6:$AC$7</xm:f>
          </x14:formula1>
          <xm:sqref>AL8 AL17:AL19</xm:sqref>
        </x14:dataValidation>
        <x14:dataValidation type="list" allowBlank="1" showErrorMessage="1" xr:uid="{00000000-0002-0000-0000-00000B000000}">
          <x14:formula1>
            <xm:f>Settings!#REF!</xm:f>
          </x14:formula1>
          <xm:sqref>K16</xm:sqref>
        </x14:dataValidation>
        <x14:dataValidation type="list" allowBlank="1" xr:uid="{00000000-0002-0000-0000-000013000000}">
          <x14:formula1>
            <xm:f>Settings!$AI$6:$AI$7</xm:f>
          </x14:formula1>
          <xm:sqref>AQ8 AQ17:AQ19</xm:sqref>
        </x14:dataValidation>
        <x14:dataValidation type="list" allowBlank="1" xr:uid="{00000000-0002-0000-0000-00000C000000}">
          <x14:formula1>
            <xm:f>Settings!$CF12:$CF13</xm:f>
          </x14:formula1>
          <xm:sqref>BE16</xm:sqref>
        </x14:dataValidation>
        <x14:dataValidation type="list" allowBlank="1" showInputMessage="1" showErrorMessage="1" xr:uid="{00000000-0002-0000-0000-00000D000000}">
          <x14:formula1>
            <xm:f>Settings!$CH12:$CH13</xm:f>
          </x14:formula1>
          <xm:sqref>BF16</xm:sqref>
        </x14:dataValidation>
        <x14:dataValidation type="list" allowBlank="1" showErrorMessage="1" xr:uid="{00000000-0002-0000-0000-00000E000000}">
          <x14:formula1>
            <xm:f>Settings!$CR12:$CR14</xm:f>
          </x14:formula1>
          <xm:sqref>J16</xm:sqref>
        </x14:dataValidation>
        <x14:dataValidation type="list" allowBlank="1" showInputMessage="1" showErrorMessage="1" xr:uid="{00000000-0002-0000-0000-00000F000000}">
          <x14:formula1>
            <xm:f>Settings!$AK6:$AK6</xm:f>
          </x14:formula1>
          <xm:sqref>AS8 AS17:AS19</xm:sqref>
        </x14:dataValidation>
        <x14:dataValidation type="list" allowBlank="1" xr:uid="{00000000-0002-0000-0000-000010000000}">
          <x14:formula1>
            <xm:f>Settings!$AM6:$AM9</xm:f>
          </x14:formula1>
          <xm:sqref>AT8 AT17:AT19</xm:sqref>
        </x14:dataValidation>
        <x14:dataValidation type="list" showInputMessage="1" showErrorMessage="1" xr:uid="{00000000-0002-0000-0000-000011000000}">
          <x14:formula1>
            <xm:f>Settings!$AO6:$AO7</xm:f>
          </x14:formula1>
          <xm:sqref>BC8 BC17:BC19</xm:sqref>
        </x14:dataValidation>
        <x14:dataValidation type="list" showInputMessage="1" showErrorMessage="1" xr:uid="{00000000-0002-0000-0000-000012000000}">
          <x14:formula1>
            <xm:f>Settings!$CN14:$CN17</xm:f>
          </x14:formula1>
          <xm:sqref>BD8 BD17:BD19</xm:sqref>
        </x14:dataValidation>
        <x14:dataValidation type="list" allowBlank="1" showErrorMessage="1" xr:uid="{00000000-0002-0000-0000-000014000000}">
          <x14:formula1>
            <xm:f>'F4'!B50:B52</xm:f>
          </x14:formula1>
          <xm:sqref>B22</xm:sqref>
        </x14:dataValidation>
        <x14:dataValidation type="list" allowBlank="1" xr:uid="{00000000-0002-0000-0000-000015000000}">
          <x14:formula1>
            <xm:f>'F5'!$P48:$P49</xm:f>
          </x14:formula1>
          <xm:sqref>AQ16:AS16</xm:sqref>
        </x14:dataValidation>
        <x14:dataValidation type="list" allowBlank="1" showErrorMessage="1" xr:uid="{00000000-0002-0000-0000-000016000000}">
          <x14:formula1>
            <xm:f>'F5'!$C37:$C43</xm:f>
          </x14:formula1>
          <xm:sqref>AP16</xm:sqref>
        </x14:dataValidation>
        <x14:dataValidation type="list" allowBlank="1" xr:uid="{00000000-0002-0000-0000-000017000000}">
          <x14:formula1>
            <xm:f>OFFSET('F4'!$C63, 1, MATCH($AN16,'F4'!$C63:$F63,0)-1,  COUNTA(  OFFSET('F4'!$C63,1, MATCH($AN16, 'F4'!$C63:$F63,0)-1, 40, 1) ), 1)</xm:f>
          </x14:formula1>
          <xm:sqref>AO16</xm:sqref>
        </x14:dataValidation>
        <x14:dataValidation type="list" allowBlank="1" showErrorMessage="1" xr:uid="{00000000-0002-0000-0000-000018000000}">
          <x14:formula1>
            <xm:f>'F4'!$B33:$B49</xm:f>
          </x14:formula1>
          <xm:sqref>AN16</xm:sqref>
        </x14:dataValidation>
        <x14:dataValidation type="list" allowBlank="1" showErrorMessage="1" xr:uid="{00000000-0002-0000-0000-000019000000}">
          <x14:formula1>
            <xm:f>'E4'!C23:C29</xm:f>
          </x14:formula1>
          <xm:sqref>AF16:AG16</xm:sqref>
        </x14:dataValidation>
        <x14:dataValidation type="list" allowBlank="1" showErrorMessage="1" xr:uid="{00000000-0002-0000-0000-00001A000000}">
          <x14:formula1>
            <xm:f>'D6'!C37:C43</xm:f>
          </x14:formula1>
          <xm:sqref>X16</xm:sqref>
        </x14:dataValidation>
        <x14:dataValidation type="list" allowBlank="1" showInputMessage="1" xr:uid="{00000000-0002-0000-0000-00001B000000}">
          <x14:formula1>
            <xm:f>'D6'!$Z37:$Z38</xm:f>
          </x14:formula1>
          <xm:sqref>Y16:Z16</xm:sqref>
        </x14:dataValidation>
        <x14:dataValidation type="list" allowBlank="1" showErrorMessage="1" xr:uid="{00000000-0002-0000-0000-00001C000000}">
          <x14:formula1>
            <xm:f>'D5'!C37:C43</xm:f>
          </x14:formula1>
          <xm:sqref>U16</xm:sqref>
        </x14:dataValidation>
        <x14:dataValidation type="list" allowBlank="1" showInputMessage="1" xr:uid="{00000000-0002-0000-0000-00001D000000}">
          <x14:formula1>
            <xm:f>'D5'!$Z37:$Z38</xm:f>
          </x14:formula1>
          <xm:sqref>V16:W16</xm:sqref>
        </x14:dataValidation>
        <x14:dataValidation type="list" allowBlank="1" showErrorMessage="1" xr:uid="{00000000-0002-0000-0000-00001E000000}">
          <x14:formula1>
            <xm:f>'D4'!C37:C43</xm:f>
          </x14:formula1>
          <xm:sqref>R16</xm:sqref>
        </x14:dataValidation>
        <x14:dataValidation type="list" allowBlank="1" showInputMessage="1" xr:uid="{00000000-0002-0000-0000-00001F000000}">
          <x14:formula1>
            <xm:f>'D4'!$Z37:$Z38</xm:f>
          </x14:formula1>
          <xm:sqref>S16:T16</xm:sqref>
        </x14:dataValidation>
        <x14:dataValidation type="list" allowBlank="1" showErrorMessage="1" xr:uid="{00000000-0002-0000-0000-000020000000}">
          <x14:formula1>
            <xm:f>'D3'!C37:C43</xm:f>
          </x14:formula1>
          <xm:sqref>O16</xm:sqref>
        </x14:dataValidation>
        <x14:dataValidation type="list" allowBlank="1" showInputMessage="1" showErrorMessage="1" promptTitle="Undefined" xr:uid="{00000000-0002-0000-0000-000021000000}">
          <x14:formula1>
            <xm:f>'D2'!B19:B36</xm:f>
          </x14:formula1>
          <xm:sqref>L16</xm:sqref>
        </x14:dataValidation>
        <x14:dataValidation type="list" allowBlank="1" showErrorMessage="1" xr:uid="{00000000-0002-0000-0000-000022000000}">
          <x14:formula1>
            <xm:f>OFFSET( 'D2'!C47, 1,   MATCH($L$8, 'D2'!C47:H47, 0)-1,COUNTA(   OFFSET( 'D2'!C47,1,  MATCH($L$8, 'D2'!C47:H47, 0)  -1,   40, 1 ) ), 1)</xm:f>
          </x14:formula1>
          <xm:sqref>M16</xm:sqref>
        </x14:dataValidation>
        <x14:dataValidation type="list" allowBlank="1" xr:uid="{00000000-0002-0000-0000-000023000000}">
          <x14:formula1>
            <xm:f>'H3'!$Z23:$Z24</xm:f>
          </x14:formula1>
          <xm:sqref>BL16</xm:sqref>
        </x14:dataValidation>
        <x14:dataValidation type="list" allowBlank="1" showInputMessage="1" showErrorMessage="1" xr:uid="{00000000-0002-0000-0000-000024000000}">
          <x14:formula1>
            <xm:f>'H2'!$B18:$B23</xm:f>
          </x14:formula1>
          <xm:sqref>BI16</xm:sqref>
        </x14:dataValidation>
        <x14:dataValidation type="list" allowBlank="1" showInputMessage="1" showErrorMessage="1" xr:uid="{00000000-0002-0000-0000-000025000000}">
          <x14:formula1>
            <xm:f>OFFSET( 'H2'!$D49, 1,   MATCH($BI16, 'H2'!$D49:$I49, 0)-1,   COUNTA(   OFFSET( 'H2'!$D49,1,  MATCH( $BI16, 'H2'!$D49:$I49, 0)  -1,   40, 1 ) ), 1)</xm:f>
          </x14:formula1>
          <xm:sqref>BJ16</xm:sqref>
        </x14:dataValidation>
        <x14:dataValidation type="list" allowBlank="1" showErrorMessage="1" xr:uid="{00000000-0002-0000-0000-000026000000}">
          <x14:formula1>
            <xm:f>'H3'!$C24:$C30</xm:f>
          </x14:formula1>
          <xm:sqref>BK16</xm:sqref>
        </x14:dataValidation>
        <x14:dataValidation type="list" allowBlank="1" xr:uid="{00000000-0002-0000-0000-000027000000}">
          <x14:formula1>
            <xm:f>'G4'!$Z24:$Z25</xm:f>
          </x14:formula1>
          <xm:sqref>BB16:BD16</xm:sqref>
        </x14:dataValidation>
        <x14:dataValidation type="list" allowBlank="1" showErrorMessage="1" xr:uid="{00000000-0002-0000-0000-000028000000}">
          <x14:formula1>
            <xm:f>'G2'!$C24:$C30</xm:f>
          </x14:formula1>
          <xm:sqref>AW16</xm:sqref>
        </x14:dataValidation>
        <x14:dataValidation type="list" allowBlank="1" xr:uid="{00000000-0002-0000-0000-000029000000}">
          <x14:formula1>
            <xm:f>'G2'!$Z24:$Z25</xm:f>
          </x14:formula1>
          <xm:sqref>AX16</xm:sqref>
        </x14:dataValidation>
        <x14:dataValidation type="list" allowBlank="1" showErrorMessage="1" xr:uid="{00000000-0002-0000-0000-00002A000000}">
          <x14:formula1>
            <xm:f>'G3'!$C24:$C30</xm:f>
          </x14:formula1>
          <xm:sqref>AY16</xm:sqref>
        </x14:dataValidation>
        <x14:dataValidation type="list" allowBlank="1" xr:uid="{00000000-0002-0000-0000-00002B000000}">
          <x14:formula1>
            <xm:f>'G3'!$Z24:$Z25</xm:f>
          </x14:formula1>
          <xm:sqref>AZ16</xm:sqref>
        </x14:dataValidation>
        <x14:dataValidation type="list" allowBlank="1" showErrorMessage="1" xr:uid="{00000000-0002-0000-0000-00002C000000}">
          <x14:formula1>
            <xm:f>'G4'!$C25:$C30</xm:f>
          </x14:formula1>
          <xm:sqref>BA16</xm:sqref>
        </x14:dataValidation>
        <x14:dataValidation type="list" allowBlank="1" xr:uid="{00000000-0002-0000-0000-00002D000000}">
          <x14:formula1>
            <xm:f>'F2'!$P35:$P36</xm:f>
          </x14:formula1>
          <xm:sqref>AM16</xm:sqref>
        </x14:dataValidation>
        <x14:dataValidation type="list" allowBlank="1" showErrorMessage="1" xr:uid="{00000000-0002-0000-0000-00002E000000}">
          <x14:formula1>
            <xm:f>'F2'!C24:C30</xm:f>
          </x14:formula1>
          <xm:sqref>AK16:AL16</xm:sqref>
        </x14:dataValidation>
        <x14:dataValidation type="list" allowBlank="1" showErrorMessage="1" xr:uid="{00000000-0002-0000-0000-00002F000000}">
          <x14:formula1>
            <xm:f>'E2'!$B29:$B38</xm:f>
          </x14:formula1>
          <xm:sqref>AC16</xm:sqref>
        </x14:dataValidation>
        <x14:dataValidation type="list" allowBlank="1" xr:uid="{00000000-0002-0000-0000-000030000000}">
          <x14:formula1>
            <xm:f>OFFSET('E2'!$C$38,1,MATCH($AC$8,'E2'!C45:L45,0)-1,COUNTA(OFFSET('E2'!$C$38,1,MATCH($AC$8, 'E2'!C45:L45,0)-1,40,1)),1)</xm:f>
          </x14:formula1>
          <xm:sqref>AD16</xm:sqref>
        </x14:dataValidation>
        <x14:dataValidation type="list" allowBlank="1" showErrorMessage="1" xr:uid="{00000000-0002-0000-0000-000031000000}">
          <x14:formula1>
            <xm:f>'E3'!D25:W25</xm:f>
          </x14:formula1>
          <xm:sqref>AE16</xm:sqref>
        </x14:dataValidation>
        <x14:dataValidation type="list" allowBlank="1" showInputMessage="1" showErrorMessage="1" xr:uid="{00000000-0002-0000-0000-000032000000}">
          <x14:formula1>
            <xm:f>Settings!$E13:$E15</xm:f>
          </x14:formula1>
          <xm:sqref>N16</xm:sqref>
        </x14:dataValidation>
        <x14:dataValidation type="list" allowBlank="1" showInputMessage="1" showErrorMessage="1" xr:uid="{00000000-0002-0000-0000-000033000000}">
          <x14:formula1>
            <xm:f>Settings!B14:B16</xm:f>
          </x14:formula1>
          <xm:sqref>B16</xm:sqref>
        </x14:dataValidation>
        <x14:dataValidation type="list" allowBlank="1" showErrorMessage="1" xr:uid="{00000000-0002-0000-0000-000034000000}">
          <x14:formula1>
            <xm:f>'F5'!$C30:$C36</xm:f>
          </x14:formula1>
          <xm:sqref>AP8 AP17:AP19</xm:sqref>
        </x14:dataValidation>
        <x14:dataValidation type="list" allowBlank="1" xr:uid="{00000000-0002-0000-0000-000035000000}">
          <x14:formula1>
            <xm:f>OFFSET('F4'!$C56, 1, MATCH($AN8,'F4'!$C56:$F56,0)-1,  COUNTA(  OFFSET('F4'!$C56,1, MATCH($AN8, 'F4'!$C56:$F56,0)-1, 40, 1) ), 1)</xm:f>
          </x14:formula1>
          <xm:sqref>AO8 AO17:AO19</xm:sqref>
        </x14:dataValidation>
        <x14:dataValidation type="list" allowBlank="1" showErrorMessage="1" xr:uid="{00000000-0002-0000-0000-000036000000}">
          <x14:formula1>
            <xm:f>'E4'!C16:C21</xm:f>
          </x14:formula1>
          <xm:sqref>AF8 AF17:AF19</xm:sqref>
        </x14:dataValidation>
        <x14:dataValidation type="list" allowBlank="1" showErrorMessage="1" xr:uid="{00000000-0002-0000-0000-000037000000}">
          <x14:formula1>
            <xm:f>'D6'!C30:C36</xm:f>
          </x14:formula1>
          <xm:sqref>X8 X17:X19</xm:sqref>
        </x14:dataValidation>
        <x14:dataValidation type="list" allowBlank="1" showErrorMessage="1" xr:uid="{00000000-0002-0000-0000-000038000000}">
          <x14:formula1>
            <xm:f>'D5'!C30:C36</xm:f>
          </x14:formula1>
          <xm:sqref>U8 U17:U19</xm:sqref>
        </x14:dataValidation>
        <x14:dataValidation type="list" allowBlank="1" showErrorMessage="1" xr:uid="{00000000-0002-0000-0000-000039000000}">
          <x14:formula1>
            <xm:f>'D4'!C30:C36</xm:f>
          </x14:formula1>
          <xm:sqref>R8 R17:R19</xm:sqref>
        </x14:dataValidation>
        <x14:dataValidation type="list" allowBlank="1" showErrorMessage="1" xr:uid="{00000000-0002-0000-0000-00003A000000}">
          <x14:formula1>
            <xm:f xml:space="preserve"> 'D3'!$C30:$C36</xm:f>
          </x14:formula1>
          <xm:sqref>O8 O17:O19</xm:sqref>
        </x14:dataValidation>
        <x14:dataValidation type="list" allowBlank="1" showErrorMessage="1" xr:uid="{00000000-0002-0000-0000-00003B000000}">
          <x14:formula1>
            <xm:f>OFFSET( 'D2'!C40, 1,   MATCH($L$8, 'D2'!C40:H40, 0)-1,COUNTA(   OFFSET( 'D2'!C40,1,  MATCH($L$8, 'D2'!C40:H40, 0)  -1,   40, 1 ) ), 1)</xm:f>
          </x14:formula1>
          <xm:sqref>M8 M17:M19</xm:sqref>
        </x14:dataValidation>
        <x14:dataValidation type="list" allowBlank="1" showInputMessage="1" showErrorMessage="1" promptTitle="Undefined" xr:uid="{00000000-0002-0000-0000-00003C000000}">
          <x14:formula1>
            <xm:f>'D2'!B12:B17</xm:f>
          </x14:formula1>
          <xm:sqref>L8 L17:L19</xm:sqref>
        </x14:dataValidation>
        <x14:dataValidation type="list" allowBlank="1" showInputMessage="1" showErrorMessage="1" xr:uid="{00000000-0002-0000-0000-00003D000000}">
          <x14:formula1>
            <xm:f>G5_Hide!$M8:$M9</xm:f>
          </x14:formula1>
          <xm:sqref>BF8 BF17:BF19</xm:sqref>
        </x14:dataValidation>
        <x14:dataValidation type="list" allowBlank="1" showInputMessage="1" showErrorMessage="1" xr:uid="{00000000-0002-0000-0000-00003E000000}">
          <x14:formula1>
            <xm:f>G5_Hide!$N8:$N9</xm:f>
          </x14:formula1>
          <xm:sqref>BG8 BG17:BG19</xm:sqref>
        </x14:dataValidation>
        <x14:dataValidation type="list" allowBlank="1" xr:uid="{00000000-0002-0000-0000-00003F000000}">
          <x14:formula1>
            <xm:f>'G2'!$L6:$L7</xm:f>
          </x14:formula1>
          <xm:sqref>AX8 AX17:AX19</xm:sqref>
        </x14:dataValidation>
        <x14:dataValidation type="list" allowBlank="1" xr:uid="{00000000-0002-0000-0000-000040000000}">
          <x14:formula1>
            <xm:f>'H3'!$Z16:$Z17</xm:f>
          </x14:formula1>
          <xm:sqref>BL8 BL17:BL19</xm:sqref>
        </x14:dataValidation>
        <x14:dataValidation type="list" allowBlank="1" showInputMessage="1" showErrorMessage="1" xr:uid="{00000000-0002-0000-0000-000041000000}">
          <x14:formula1>
            <xm:f>'H2'!$B11:$B16</xm:f>
          </x14:formula1>
          <xm:sqref>BI8 BI17:BI19</xm:sqref>
        </x14:dataValidation>
        <x14:dataValidation type="list" allowBlank="1" showInputMessage="1" showErrorMessage="1" xr:uid="{00000000-0002-0000-0000-000042000000}">
          <x14:formula1>
            <xm:f>OFFSET( 'H2'!$D42, 1,   MATCH($BI8, 'H2'!$D42:$I42, 0)-1,   COUNTA(   OFFSET( 'H2'!$D42,1,  MATCH( $BI8, 'H2'!$D42:$I42, 0)  -1,   40, 1 ) ), 1)</xm:f>
          </x14:formula1>
          <xm:sqref>BJ8 BJ17:BJ19</xm:sqref>
        </x14:dataValidation>
        <x14:dataValidation type="list" allowBlank="1" showErrorMessage="1" xr:uid="{00000000-0002-0000-0000-000043000000}">
          <x14:formula1>
            <xm:f>'H3'!$C17:$C23</xm:f>
          </x14:formula1>
          <xm:sqref>BK8 BK17:BK19</xm:sqref>
        </x14:dataValidation>
        <x14:dataValidation type="list" allowBlank="1" xr:uid="{00000000-0002-0000-0000-000044000000}">
          <x14:formula1>
            <xm:f>'G4'!$Z17:$Z18</xm:f>
          </x14:formula1>
          <xm:sqref>BB8 BB17:BB19</xm:sqref>
        </x14:dataValidation>
        <x14:dataValidation type="list" allowBlank="1" showErrorMessage="1" xr:uid="{00000000-0002-0000-0000-000045000000}">
          <x14:formula1>
            <xm:f>'G2'!$C17:$C22</xm:f>
          </x14:formula1>
          <xm:sqref>AW8 AW17:AW19</xm:sqref>
        </x14:dataValidation>
        <x14:dataValidation type="list" allowBlank="1" showErrorMessage="1" xr:uid="{00000000-0002-0000-0000-000046000000}">
          <x14:formula1>
            <xm:f>'G3'!$C17:$C23</xm:f>
          </x14:formula1>
          <xm:sqref>AY8 AY17:AY19</xm:sqref>
        </x14:dataValidation>
        <x14:dataValidation type="list" allowBlank="1" xr:uid="{00000000-0002-0000-0000-000047000000}">
          <x14:formula1>
            <xm:f>'G3'!$Q7:$Q8</xm:f>
          </x14:formula1>
          <xm:sqref>AZ8 AZ17:AZ19</xm:sqref>
        </x14:dataValidation>
        <x14:dataValidation type="list" allowBlank="1" showErrorMessage="1" xr:uid="{00000000-0002-0000-0000-000048000000}">
          <x14:formula1>
            <xm:f>'G4'!$C18:$C23</xm:f>
          </x14:formula1>
          <xm:sqref>BA8 BA17:BA19</xm:sqref>
        </x14:dataValidation>
        <x14:dataValidation type="list" allowBlank="1" showErrorMessage="1" xr:uid="{00000000-0002-0000-0000-000049000000}">
          <x14:formula1>
            <xm:f>'F4'!$B26:$B29</xm:f>
          </x14:formula1>
          <xm:sqref>AN8 AN17:AN19</xm:sqref>
        </x14:dataValidation>
        <x14:dataValidation type="list" allowBlank="1" showErrorMessage="1" xr:uid="{00000000-0002-0000-0000-00004A000000}">
          <x14:formula1>
            <xm:f>'F2'!C17:C23</xm:f>
          </x14:formula1>
          <xm:sqref>AK8 AK17:AK19</xm:sqref>
        </x14:dataValidation>
        <x14:dataValidation type="list" allowBlank="1" showErrorMessage="1" xr:uid="{00000000-0002-0000-0000-00004B000000}">
          <x14:formula1>
            <xm:f>'E3'!D18:W18</xm:f>
          </x14:formula1>
          <xm:sqref>AE8 AE17:AE19</xm:sqref>
        </x14:dataValidation>
        <x14:dataValidation type="list" allowBlank="1" showInputMessage="1" showErrorMessage="1" xr:uid="{00000000-0002-0000-0000-00004C000000}">
          <x14:formula1>
            <xm:f>Settings!B7:B9</xm:f>
          </x14:formula1>
          <xm:sqref>B8 B17:B19</xm:sqref>
        </x14:dataValidation>
        <x14:dataValidation type="list" allowBlank="1" xr:uid="{00000000-0002-0000-0000-00004D000000}">
          <x14:formula1>
            <xm:f>Settings!$O6:$O9</xm:f>
          </x14:formula1>
          <xm:sqref>Q8 Q17:Q19</xm:sqref>
        </x14:dataValidation>
        <x14:dataValidation type="list" allowBlank="1" showInputMessage="1" showErrorMessage="1" xr:uid="{00000000-0002-0000-0000-00004E000000}">
          <x14:formula1>
            <xm:f>Settings!$M6:$M7</xm:f>
          </x14:formula1>
          <xm:sqref>N8 N17:N19</xm:sqref>
        </x14:dataValidation>
        <x14:dataValidation type="list" allowBlank="1" showErrorMessage="1" xr:uid="{00000000-0002-0000-0000-00004F000000}">
          <x14:formula1>
            <xm:f>Settings!$I6:$I7</xm:f>
          </x14:formula1>
          <xm:sqref>J8 J17:J19</xm:sqref>
        </x14:dataValidation>
        <x14:dataValidation type="list" allowBlank="1" showErrorMessage="1" xr:uid="{00000000-0002-0000-0000-000050000000}">
          <x14:formula1>
            <xm:f>Settings!$K6:$K7</xm:f>
          </x14:formula1>
          <xm:sqref>K8 K17:K19</xm:sqref>
        </x14:dataValidation>
        <x14:dataValidation type="list" allowBlank="1" xr:uid="{00000000-0002-0000-0000-000051000000}">
          <x14:formula1>
            <xm:f>'D3'!$H7:$H8</xm:f>
          </x14:formula1>
          <xm:sqref>P8 P17:P19</xm:sqref>
        </x14:dataValidation>
        <x14:dataValidation type="list" allowBlank="1" xr:uid="{00000000-0002-0000-0000-000052000000}">
          <x14:formula1>
            <xm:f>IF(Adversarial, OFFSET('E2'!$C$38,1,MATCH($AC$8,'E2'!C38:L38,0)-1,COUNTA(OFFSET('E2'!$C$38,1,MATCH($AC$8, 'E2'!C38:L38,0)-1,40,1)),1), 'E2'!$B$20)</xm:f>
          </x14:formula1>
          <xm:sqref>AD8 AD17:AD19</xm:sqref>
        </x14:dataValidation>
        <x14:dataValidation type="list" allowBlank="1" showInputMessage="1" xr:uid="{00000000-0002-0000-0000-000053000000}">
          <x14:formula1>
            <xm:f>'D6'!$H7:$H8</xm:f>
          </x14:formula1>
          <xm:sqref>Y8 Y17:Y19</xm:sqref>
        </x14:dataValidation>
        <x14:dataValidation type="list" allowBlank="1" showInputMessage="1" xr:uid="{00000000-0002-0000-0000-000054000000}">
          <x14:formula1>
            <xm:f>'D4'!$H7:$H8</xm:f>
          </x14:formula1>
          <xm:sqref>S8 S17:S19</xm:sqref>
        </x14:dataValidation>
        <x14:dataValidation type="list" allowBlank="1" showInputMessage="1" xr:uid="{00000000-0002-0000-0000-000055000000}">
          <x14:formula1>
            <xm:f>'D5'!$H7:$H8</xm:f>
          </x14:formula1>
          <xm:sqref>V8 V17:V19</xm:sqref>
        </x14:dataValidation>
        <x14:dataValidation type="list" allowBlank="1" showInputMessage="1" xr:uid="{00000000-0002-0000-0000-000056000000}">
          <x14:formula1>
            <xm:f>Settings!$Q6:$Q9</xm:f>
          </x14:formula1>
          <xm:sqref>T8 T17:T19</xm:sqref>
        </x14:dataValidation>
        <x14:dataValidation type="list" allowBlank="1" showInputMessage="1" xr:uid="{00000000-0002-0000-0000-000057000000}">
          <x14:formula1>
            <xm:f>Settings!$S6:$S9</xm:f>
          </x14:formula1>
          <xm:sqref>W8 W17:W19</xm:sqref>
        </x14:dataValidation>
        <x14:dataValidation type="list" allowBlank="1" showInputMessage="1" showErrorMessage="1" xr:uid="{00000000-0002-0000-0000-000058000000}">
          <x14:formula1>
            <xm:f>Settings!$U6:$U7</xm:f>
          </x14:formula1>
          <xm:sqref>Z8 Z17:Z19</xm:sqref>
        </x14:dataValidation>
        <x14:dataValidation type="list" allowBlank="1" showInputMessage="1" xr:uid="{00000000-0002-0000-0000-000059000000}">
          <x14:formula1>
            <xm:f>Settings!$W6:$W9</xm:f>
          </x14:formula1>
          <xm:sqref>AA8 AA17:AA19</xm:sqref>
        </x14:dataValidation>
        <x14:dataValidation type="list" allowBlank="1" showErrorMessage="1" xr:uid="{00000000-0002-0000-0000-00005A000000}">
          <x14:formula1>
            <xm:f>IF(Adversarial, 'E2'!$B22:$B31, 'E2'!$B20)</xm:f>
          </x14:formula1>
          <xm:sqref>AC8 AC17:AC19</xm:sqref>
        </x14:dataValidation>
        <x14:dataValidation type="list" allowBlank="1" xr:uid="{00000000-0002-0000-0000-00005B000000}">
          <x14:formula1>
            <xm:f>IF(e_na, Settings!$AA5, Settings!$AA6:$AA9)</xm:f>
          </x14:formula1>
          <xm:sqref>AH8 AH17:AH19</xm:sqref>
        </x14:dataValidation>
        <x14:dataValidation type="list" allowBlank="1" showInputMessage="1" xr:uid="{00000000-0002-0000-0000-00005C000000}">
          <x14:formula1>
            <xm:f>IF(f2_na, Settings!$AE5, IF(f2_help, Settings!$AE5, Settings!$AE6:$AE9) )</xm:f>
          </x14:formula1>
          <xm:sqref>AM8 AM17:AM19</xm:sqref>
        </x14:dataValidation>
        <x14:dataValidation type="list" allowBlank="1" xr:uid="{00000000-0002-0000-0000-00005D000000}">
          <x14:formula1>
            <xm:f>IF(f5_na, Settings!$AG5, IF(f5_help, Settings!$AG5, Settings!$AG6:$AG9) )</xm:f>
          </x14:formula1>
          <xm:sqref>AR8 AR17:AR19</xm:sqref>
        </x14:dataValidation>
        <x14:dataValidation type="list" allowBlank="1" xr:uid="{00000000-0002-0000-0000-00005E000000}">
          <x14:formula1>
            <xm:f>G5_Hide!$J8:$J9</xm:f>
          </x14:formula1>
          <xm:sqref>BE8 BE17:BE19</xm:sqref>
        </x14:dataValidation>
        <x14:dataValidation type="list" allowBlank="1" showInputMessage="1" showErrorMessage="1" xr:uid="{00000000-0002-0000-0000-00005F000000}">
          <x14:formula1>
            <xm:f>I2_Hide!$I8:$I9</xm:f>
          </x14:formula1>
          <xm:sqref>BO8 BO17:BO19</xm:sqref>
        </x14:dataValidation>
        <x14:dataValidation type="list" allowBlank="1" showInputMessage="1" showErrorMessage="1" xr:uid="{00000000-0002-0000-0000-000060000000}">
          <x14:formula1>
            <xm:f>I2_Hide!$N8:$N9</xm:f>
          </x14:formula1>
          <xm:sqref>BP8 BP17:BP19</xm:sqref>
        </x14:dataValidation>
        <x14:dataValidation type="list" allowBlank="1" showInputMessage="1" showErrorMessage="1" xr:uid="{00000000-0002-0000-0000-000061000000}">
          <x14:formula1>
            <xm:f>I2_Hide!$O8:$O9</xm:f>
          </x14:formula1>
          <xm:sqref>BQ8 BQ17:BQ19</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92D050"/>
  </sheetPr>
  <dimension ref="B1:AP31"/>
  <sheetViews>
    <sheetView workbookViewId="0"/>
  </sheetViews>
  <sheetFormatPr defaultRowHeight="14.6"/>
  <cols>
    <col min="2" max="2" width="12.69140625" customWidth="1"/>
    <col min="3" max="3" width="18.69140625" customWidth="1"/>
    <col min="4" max="4" width="14.69140625" customWidth="1"/>
    <col min="5" max="5" width="66.69140625" customWidth="1"/>
    <col min="6" max="6" width="98.69140625" customWidth="1"/>
    <col min="7" max="7" width="30.69140625" customWidth="1"/>
    <col min="8" max="8" width="52.69140625" customWidth="1"/>
    <col min="9" max="9" width="16.69140625" customWidth="1"/>
    <col min="10" max="10" width="30.69140625" customWidth="1"/>
    <col min="11" max="11" width="20.69140625" customWidth="1"/>
    <col min="12" max="12" width="26.69140625" customWidth="1"/>
    <col min="13" max="13" width="20.69140625" customWidth="1"/>
    <col min="14" max="14" width="30.69140625" customWidth="1"/>
    <col min="15" max="15" width="20.69140625" customWidth="1"/>
    <col min="16" max="16" width="46.69140625" customWidth="1"/>
    <col min="17" max="17" width="16.69140625" customWidth="1"/>
    <col min="18" max="18" width="44.69140625" customWidth="1"/>
    <col min="19" max="19" width="20.69140625" customWidth="1"/>
    <col min="20" max="20" width="28.69140625" customWidth="1"/>
    <col min="21" max="21" width="20.69140625" customWidth="1"/>
    <col min="22" max="22" width="48.69140625" customWidth="1"/>
    <col min="23" max="23" width="148.69140625" customWidth="1"/>
    <col min="24" max="24" width="28.69140625" customWidth="1"/>
    <col min="25" max="25" width="20.69140625" customWidth="1"/>
    <col min="26" max="26" width="48.69140625" customWidth="1"/>
    <col min="27" max="27" width="148.69140625" customWidth="1"/>
    <col min="28" max="28" width="32.69140625" customWidth="1"/>
    <col min="29" max="29" width="26.69140625" customWidth="1"/>
    <col min="30" max="30" width="42.69140625" customWidth="1"/>
    <col min="31" max="32" width="26.69140625" customWidth="1"/>
    <col min="33" max="33" width="32.69140625" customWidth="1"/>
    <col min="34" max="34" width="38.69140625" customWidth="1"/>
    <col min="35" max="35" width="36.69140625" customWidth="1"/>
    <col min="36" max="36" width="146.69140625" customWidth="1"/>
    <col min="37" max="38" width="34.69140625" customWidth="1"/>
    <col min="39" max="39" width="28.69140625" customWidth="1"/>
    <col min="40" max="40" width="32.69140625" customWidth="1"/>
    <col min="41" max="41" width="38.69140625" customWidth="1"/>
    <col min="42" max="42" width="26.69140625" customWidth="1"/>
  </cols>
  <sheetData>
    <row r="1" spans="2:42" s="246" customFormat="1" ht="19.3" thickTop="1" thickBot="1">
      <c r="E1" s="2126" t="s">
        <v>1196</v>
      </c>
      <c r="F1" s="2127"/>
      <c r="G1" s="2127"/>
      <c r="H1" s="2127"/>
      <c r="I1" s="2127"/>
      <c r="J1" s="2127"/>
      <c r="K1" s="2127"/>
      <c r="L1" s="2127"/>
      <c r="M1" s="2127"/>
      <c r="N1" s="2127"/>
      <c r="O1" s="2127"/>
      <c r="P1" s="2127"/>
      <c r="Q1" s="2127"/>
      <c r="R1" s="2127"/>
      <c r="S1" s="2127"/>
      <c r="T1" s="2127"/>
      <c r="U1" s="2127"/>
      <c r="V1" s="2127"/>
      <c r="W1" s="2127"/>
      <c r="X1" s="2127"/>
      <c r="Y1" s="2127"/>
      <c r="Z1" s="2127"/>
      <c r="AA1" s="2127"/>
      <c r="AB1" s="2127"/>
      <c r="AC1" s="2127"/>
      <c r="AD1" s="2127"/>
      <c r="AE1" s="2127"/>
      <c r="AF1" s="2127"/>
      <c r="AG1" s="2127"/>
      <c r="AH1" s="2127"/>
      <c r="AI1" s="2127"/>
      <c r="AJ1" s="2127"/>
      <c r="AK1" s="2127"/>
      <c r="AL1" s="2127"/>
      <c r="AM1" s="2127"/>
      <c r="AN1" s="2127"/>
      <c r="AO1" s="2128"/>
    </row>
    <row r="2" spans="2:42" s="246" customFormat="1" ht="19.3" thickTop="1" thickBot="1">
      <c r="B2" s="1578" t="s">
        <v>1918</v>
      </c>
      <c r="C2" s="1578"/>
      <c r="D2" s="1578"/>
      <c r="E2" s="2143" t="s">
        <v>1704</v>
      </c>
      <c r="F2" s="2144"/>
      <c r="G2" s="2161" t="s">
        <v>1705</v>
      </c>
      <c r="H2" s="2161"/>
      <c r="I2" s="2154"/>
      <c r="J2" s="2186" t="s">
        <v>1209</v>
      </c>
      <c r="K2" s="2187"/>
      <c r="L2" s="2187"/>
      <c r="M2" s="2187"/>
      <c r="N2" s="2187"/>
      <c r="O2" s="2188"/>
      <c r="P2" s="2153" t="s">
        <v>1709</v>
      </c>
      <c r="Q2" s="2161"/>
      <c r="R2" s="2143" t="s">
        <v>1710</v>
      </c>
      <c r="S2" s="2144"/>
      <c r="T2" s="2153" t="s">
        <v>1711</v>
      </c>
      <c r="U2" s="2161"/>
      <c r="V2" s="2161"/>
      <c r="W2" s="2154"/>
      <c r="X2" s="2143" t="s">
        <v>1712</v>
      </c>
      <c r="Y2" s="2147"/>
      <c r="Z2" s="2147"/>
      <c r="AA2" s="2147"/>
      <c r="AB2" s="2147"/>
      <c r="AC2" s="2144"/>
      <c r="AD2" s="2153" t="s">
        <v>1713</v>
      </c>
      <c r="AE2" s="2154"/>
      <c r="AF2" s="2143" t="s">
        <v>1714</v>
      </c>
      <c r="AG2" s="2147"/>
      <c r="AH2" s="2144"/>
      <c r="AI2" s="2043" t="s">
        <v>1715</v>
      </c>
      <c r="AJ2" s="2044"/>
      <c r="AK2" s="2044"/>
      <c r="AL2" s="2045"/>
      <c r="AM2" s="2177" t="s">
        <v>1744</v>
      </c>
      <c r="AN2" s="2178"/>
      <c r="AO2" s="2179"/>
    </row>
    <row r="3" spans="2:42" s="246" customFormat="1" ht="20.25" customHeight="1" thickTop="1" thickBot="1">
      <c r="E3" s="2145"/>
      <c r="F3" s="2146"/>
      <c r="G3" s="2162"/>
      <c r="H3" s="2162"/>
      <c r="I3" s="2158"/>
      <c r="J3" s="2189" t="s">
        <v>1706</v>
      </c>
      <c r="K3" s="2190"/>
      <c r="L3" s="2189" t="s">
        <v>1707</v>
      </c>
      <c r="M3" s="2190"/>
      <c r="N3" s="2191" t="s">
        <v>1708</v>
      </c>
      <c r="O3" s="2192"/>
      <c r="P3" s="2193" t="s">
        <v>1741</v>
      </c>
      <c r="Q3" s="2194"/>
      <c r="R3" s="2159"/>
      <c r="S3" s="2160"/>
      <c r="T3" s="2157"/>
      <c r="U3" s="2162"/>
      <c r="V3" s="2162"/>
      <c r="W3" s="2158"/>
      <c r="X3" s="2145"/>
      <c r="Y3" s="2148"/>
      <c r="Z3" s="2148"/>
      <c r="AA3" s="2148"/>
      <c r="AB3" s="2148"/>
      <c r="AC3" s="2146"/>
      <c r="AD3" s="2155"/>
      <c r="AE3" s="2156"/>
      <c r="AF3" s="1586"/>
      <c r="AG3" s="1587"/>
      <c r="AH3" s="1601"/>
      <c r="AI3" s="2043" t="s">
        <v>1743</v>
      </c>
      <c r="AJ3" s="2044"/>
      <c r="AK3" s="2044"/>
      <c r="AL3" s="2045"/>
      <c r="AM3" s="2180"/>
      <c r="AN3" s="2181"/>
      <c r="AO3" s="2182"/>
    </row>
    <row r="4" spans="2:42" s="246" customFormat="1" ht="19.3" thickTop="1" thickBot="1">
      <c r="E4" s="2197" t="s">
        <v>1198</v>
      </c>
      <c r="F4" s="2198"/>
      <c r="G4" s="2091" t="s">
        <v>1201</v>
      </c>
      <c r="H4" s="2092"/>
      <c r="I4" s="2093"/>
      <c r="J4" s="2091" t="s">
        <v>1202</v>
      </c>
      <c r="K4" s="2093"/>
      <c r="L4" s="2091" t="s">
        <v>1203</v>
      </c>
      <c r="M4" s="2093"/>
      <c r="N4" s="2091" t="s">
        <v>1204</v>
      </c>
      <c r="O4" s="2093"/>
      <c r="P4" s="2195"/>
      <c r="Q4" s="2196"/>
      <c r="R4" s="2145"/>
      <c r="S4" s="2146"/>
      <c r="T4" s="2149" t="s">
        <v>1730</v>
      </c>
      <c r="U4" s="2150"/>
      <c r="V4" s="2170" t="s">
        <v>1742</v>
      </c>
      <c r="W4" s="2171"/>
      <c r="X4" s="2149" t="s">
        <v>1218</v>
      </c>
      <c r="Y4" s="2150"/>
      <c r="Z4" s="2132" t="s">
        <v>1193</v>
      </c>
      <c r="AA4" s="2169"/>
      <c r="AB4" s="2169"/>
      <c r="AC4" s="2169"/>
      <c r="AD4" s="2157"/>
      <c r="AE4" s="2158"/>
      <c r="AF4" s="1588"/>
      <c r="AG4" s="1589"/>
      <c r="AH4" s="1602"/>
      <c r="AI4" s="2091" t="s">
        <v>1192</v>
      </c>
      <c r="AJ4" s="2093"/>
      <c r="AK4" s="2091" t="s">
        <v>1226</v>
      </c>
      <c r="AL4" s="2093"/>
      <c r="AM4" s="2183" t="s">
        <v>1738</v>
      </c>
      <c r="AN4" s="2184"/>
      <c r="AO4" s="2185"/>
    </row>
    <row r="5" spans="2:42" s="246" customFormat="1" ht="16.5" customHeight="1" thickTop="1" thickBot="1">
      <c r="E5" s="2175" t="s">
        <v>724</v>
      </c>
      <c r="F5" s="2176"/>
      <c r="G5" s="2019" t="s">
        <v>1168</v>
      </c>
      <c r="H5" s="2020"/>
      <c r="J5" s="2019" t="s">
        <v>1171</v>
      </c>
      <c r="K5" s="2020"/>
      <c r="L5" s="2019" t="s">
        <v>1172</v>
      </c>
      <c r="M5" s="2020"/>
      <c r="N5" s="2019" t="s">
        <v>1173</v>
      </c>
      <c r="O5" s="2020"/>
      <c r="P5" s="2172" t="s">
        <v>750</v>
      </c>
      <c r="Q5" s="2173"/>
      <c r="R5" s="2174" t="s">
        <v>1154</v>
      </c>
      <c r="S5" s="2138"/>
      <c r="T5" s="2151"/>
      <c r="U5" s="2152"/>
      <c r="V5" s="2167" t="s">
        <v>1194</v>
      </c>
      <c r="W5" s="2168"/>
      <c r="X5" s="2151"/>
      <c r="Y5" s="2152"/>
      <c r="Z5" s="2167" t="s">
        <v>1194</v>
      </c>
      <c r="AA5" s="2168"/>
      <c r="AB5" s="2163" t="s">
        <v>1195</v>
      </c>
      <c r="AC5" s="2164"/>
      <c r="AD5" s="2137" t="s">
        <v>1156</v>
      </c>
      <c r="AE5" s="2138"/>
      <c r="AF5" s="2137" t="s">
        <v>1160</v>
      </c>
      <c r="AG5" s="2174"/>
      <c r="AH5" s="2138"/>
      <c r="AI5" s="2165" t="s">
        <v>1186</v>
      </c>
      <c r="AJ5" s="2166"/>
      <c r="AK5" s="1721" t="s">
        <v>1191</v>
      </c>
      <c r="AL5" s="1725"/>
      <c r="AM5" s="1721" t="s">
        <v>1734</v>
      </c>
      <c r="AN5" s="2165" t="s">
        <v>1739</v>
      </c>
      <c r="AO5" s="2166"/>
    </row>
    <row r="6" spans="2:42" s="246" customFormat="1" ht="16.5" customHeight="1" thickTop="1" thickBot="1">
      <c r="C6" s="1668" t="s">
        <v>170</v>
      </c>
      <c r="D6" s="1668" t="s">
        <v>226</v>
      </c>
      <c r="E6" s="1516" t="s">
        <v>929</v>
      </c>
      <c r="F6" s="1714" t="s">
        <v>930</v>
      </c>
      <c r="G6" s="628" t="s">
        <v>1802</v>
      </c>
      <c r="H6" s="628" t="s">
        <v>1803</v>
      </c>
      <c r="I6" s="628" t="s">
        <v>1205</v>
      </c>
      <c r="J6" s="628" t="s">
        <v>133</v>
      </c>
      <c r="K6" s="628" t="s">
        <v>1899</v>
      </c>
      <c r="L6" s="628" t="s">
        <v>147</v>
      </c>
      <c r="M6" s="628" t="s">
        <v>173</v>
      </c>
      <c r="N6" s="628" t="s">
        <v>150</v>
      </c>
      <c r="O6" s="628" t="s">
        <v>174</v>
      </c>
      <c r="P6" s="1529" t="s">
        <v>931</v>
      </c>
      <c r="Q6" s="1529" t="s">
        <v>1905</v>
      </c>
      <c r="R6" s="573" t="s">
        <v>1012</v>
      </c>
      <c r="S6" s="1706" t="s">
        <v>936</v>
      </c>
      <c r="T6" s="573" t="s">
        <v>1908</v>
      </c>
      <c r="U6" s="573" t="s">
        <v>1910</v>
      </c>
      <c r="V6" s="1700" t="s">
        <v>925</v>
      </c>
      <c r="W6" s="1700" t="s">
        <v>924</v>
      </c>
      <c r="X6" s="573" t="s">
        <v>1908</v>
      </c>
      <c r="Y6" s="1706" t="s">
        <v>1854</v>
      </c>
      <c r="Z6" s="1700" t="s">
        <v>1923</v>
      </c>
      <c r="AA6" s="1723" t="s">
        <v>924</v>
      </c>
      <c r="AB6" s="1722" t="s">
        <v>1920</v>
      </c>
      <c r="AC6" s="1722" t="s">
        <v>895</v>
      </c>
      <c r="AD6" s="1706" t="s">
        <v>1014</v>
      </c>
      <c r="AE6" s="1706" t="s">
        <v>938</v>
      </c>
      <c r="AF6" s="573" t="s">
        <v>1749</v>
      </c>
      <c r="AG6" s="573" t="s">
        <v>1750</v>
      </c>
      <c r="AH6" s="1706" t="s">
        <v>1928</v>
      </c>
      <c r="AI6" s="1516" t="s">
        <v>1883</v>
      </c>
      <c r="AJ6" s="1516" t="s">
        <v>1885</v>
      </c>
      <c r="AK6" s="1516" t="s">
        <v>1916</v>
      </c>
      <c r="AL6" s="1714" t="s">
        <v>997</v>
      </c>
      <c r="AM6" s="1516" t="s">
        <v>1932</v>
      </c>
      <c r="AN6" s="1714" t="s">
        <v>1934</v>
      </c>
      <c r="AO6" s="1714" t="s">
        <v>1936</v>
      </c>
    </row>
    <row r="7" spans="2:42" s="246" customFormat="1" ht="16.5" customHeight="1" thickTop="1" thickBot="1">
      <c r="B7" s="1570" t="s">
        <v>1297</v>
      </c>
      <c r="C7" s="1669" t="s">
        <v>1892</v>
      </c>
      <c r="D7" s="1669" t="s">
        <v>1881</v>
      </c>
      <c r="E7" s="628" t="s">
        <v>1893</v>
      </c>
      <c r="F7" s="1663" t="s">
        <v>1894</v>
      </c>
      <c r="G7" s="628" t="s">
        <v>1895</v>
      </c>
      <c r="H7" s="628" t="s">
        <v>1896</v>
      </c>
      <c r="I7" s="628" t="s">
        <v>1891</v>
      </c>
      <c r="J7" s="628" t="s">
        <v>1897</v>
      </c>
      <c r="K7" s="628" t="s">
        <v>1898</v>
      </c>
      <c r="L7" s="628" t="s">
        <v>1900</v>
      </c>
      <c r="M7" s="628" t="s">
        <v>1901</v>
      </c>
      <c r="N7" s="628" t="s">
        <v>1902</v>
      </c>
      <c r="O7" s="628" t="s">
        <v>1903</v>
      </c>
      <c r="P7" s="628" t="s">
        <v>1904</v>
      </c>
      <c r="Q7" s="628" t="s">
        <v>1845</v>
      </c>
      <c r="R7" s="628" t="s">
        <v>1873</v>
      </c>
      <c r="S7" s="1663" t="s">
        <v>1906</v>
      </c>
      <c r="T7" s="628" t="s">
        <v>1907</v>
      </c>
      <c r="U7" s="628" t="s">
        <v>1909</v>
      </c>
      <c r="V7" s="628" t="s">
        <v>1867</v>
      </c>
      <c r="W7" s="628" t="s">
        <v>1911</v>
      </c>
      <c r="X7" s="628" t="s">
        <v>1914</v>
      </c>
      <c r="Y7" s="1663" t="s">
        <v>1913</v>
      </c>
      <c r="Z7" s="628" t="s">
        <v>1922</v>
      </c>
      <c r="AA7" s="1663" t="s">
        <v>1924</v>
      </c>
      <c r="AB7" s="1521" t="s">
        <v>1919</v>
      </c>
      <c r="AC7" s="472" t="s">
        <v>1921</v>
      </c>
      <c r="AD7" s="1663" t="s">
        <v>1937</v>
      </c>
      <c r="AE7" s="1663" t="s">
        <v>1925</v>
      </c>
      <c r="AF7" s="628" t="s">
        <v>1878</v>
      </c>
      <c r="AG7" s="628" t="s">
        <v>1926</v>
      </c>
      <c r="AH7" s="1663" t="s">
        <v>1927</v>
      </c>
      <c r="AI7" s="628" t="s">
        <v>1929</v>
      </c>
      <c r="AJ7" s="628" t="s">
        <v>1930</v>
      </c>
      <c r="AK7" s="628" t="s">
        <v>1915</v>
      </c>
      <c r="AL7" s="1663" t="s">
        <v>1917</v>
      </c>
      <c r="AM7" s="1521" t="s">
        <v>1931</v>
      </c>
      <c r="AN7" s="1521" t="s">
        <v>1933</v>
      </c>
      <c r="AO7" s="472" t="s">
        <v>1935</v>
      </c>
    </row>
    <row r="8" spans="2:42" s="1600" customFormat="1" ht="16.75" thickTop="1" thickBot="1">
      <c r="B8" s="1599" t="s">
        <v>1839</v>
      </c>
      <c r="C8" s="1598" t="str">
        <f>Work!J8</f>
        <v>Adversarial</v>
      </c>
      <c r="D8" s="1598">
        <f>Work!B8</f>
        <v>3</v>
      </c>
      <c r="E8" s="1598" t="str">
        <f>Work!$AC$8</f>
        <v>Achieve results (i.e., cause adverse impacts, obtain information)</v>
      </c>
      <c r="F8" s="1689" t="str">
        <f>Work!$AD$8</f>
        <v>Obtain sensitive information via exfiltration.</v>
      </c>
      <c r="G8" s="1598" t="str">
        <f>Work!$L$8</f>
        <v>Adversarial</v>
      </c>
      <c r="H8" s="1598" t="str">
        <f>Work!$M$8</f>
        <v>Organization Definition #1 (Extra )</v>
      </c>
      <c r="I8" s="1598" t="str">
        <f>Work!$N$8</f>
        <v>Yes</v>
      </c>
      <c r="J8" s="1598" t="str">
        <f>IF(Adversarial, Work!$O$8,"n/a")</f>
        <v>80-95+  (High)</v>
      </c>
      <c r="K8" s="1715">
        <f>IF(Adversarial, Work!$P$8,"n/a")</f>
        <v>88</v>
      </c>
      <c r="L8" s="1598" t="str">
        <f>IF(Adversarial, Work!$R$8,"n/a")</f>
        <v>5-20+   (Low)</v>
      </c>
      <c r="M8" s="1707">
        <f>IF(Adversarial, Work!$S$8,"n/a")</f>
        <v>13</v>
      </c>
      <c r="N8" s="1598" t="str">
        <f>IF(Adversarial, Work!$U$8,"n/a")</f>
        <v>5-20+   (Low)</v>
      </c>
      <c r="O8" s="1717">
        <f>IF(Adversarial, Work!$V$8,"n/a")</f>
        <v>13</v>
      </c>
      <c r="P8" s="1718" t="str">
        <f>Work!$AF$8</f>
        <v>Expected    (80-95+, High)</v>
      </c>
      <c r="Q8" s="1718">
        <f>Work!$AG$8</f>
        <v>88</v>
      </c>
      <c r="R8" s="1598" t="str">
        <f>IF(Adversarial, Work!$AW$8,"n/a")</f>
        <v>5-20+   (Low)</v>
      </c>
      <c r="S8" s="1689">
        <f>IF(Adversarial, Work!$AX$8,"n/a")</f>
        <v>13</v>
      </c>
      <c r="T8" s="1718" t="str">
        <f>IF(Adversarial, Work!$AK$8,"n/a")</f>
        <v>21-79+  (Moderate)</v>
      </c>
      <c r="U8" s="1718">
        <f>IF(Adversarial, Work!$AL$8,"n/a")</f>
        <v>51</v>
      </c>
      <c r="V8" s="1718" t="str">
        <f>Work!$AN$8</f>
        <v>TECHNICAL</v>
      </c>
      <c r="W8" s="1720" t="str">
        <f>Work!AO$8</f>
        <v>Allocation of specific security functionality to common controls (Architectural )</v>
      </c>
      <c r="X8" s="1718">
        <f>IF(Adversarial, Work!$BH$8,"n/a")</f>
        <v>3</v>
      </c>
      <c r="Y8" s="1719" t="str">
        <f>IF(Adversarial, Work!$BI$8,"n/a")</f>
        <v>HARM TO OPERATIONS</v>
      </c>
      <c r="Z8" s="1718" t="str">
        <f>Work!$AN$8</f>
        <v>TECHNICAL</v>
      </c>
      <c r="AA8" s="1719" t="str">
        <f>Work!$AO$8</f>
        <v>Allocation of specific security functionality to common controls (Architectural )</v>
      </c>
      <c r="AB8" s="1598" t="str">
        <f>IF(Adversarial, Work!$AP$8,"n/a")</f>
        <v>21-79+  (Moderate)</v>
      </c>
      <c r="AC8" s="1598">
        <f>IF(Adversarial, Work!$AQ$8,"n/a")</f>
        <v>51</v>
      </c>
      <c r="AD8" s="1689" t="str">
        <f>IF(Adversarial, Work!$BA$8,"n/a")</f>
        <v>80-95+  (High)</v>
      </c>
      <c r="AE8" s="1689">
        <f>IF(Adversarial, Work!$BB$8,"n/a")</f>
        <v>88</v>
      </c>
      <c r="AF8" s="1598" t="str">
        <f>IF(Adversarial, Work!$BE$8,"n/a")</f>
        <v>Moderate</v>
      </c>
      <c r="AG8" s="1598">
        <f>IF(Adversarial, Work!$BF$8,"n/a")</f>
        <v>69.400000000000006</v>
      </c>
      <c r="AH8" s="1689" t="str">
        <f>IF(Adversarial, Work!$BG$8,"n/a")</f>
        <v>Moderate</v>
      </c>
      <c r="AI8" s="1598" t="str">
        <f>Work!$BI$8</f>
        <v>HARM TO OPERATIONS</v>
      </c>
      <c r="AJ8" s="1598" t="str">
        <f>Work!$BJ$8</f>
        <v>Harms (e.g., financial costs, sanctions) due to noncompliance. - 
With applicable laws or regulations.</v>
      </c>
      <c r="AK8" s="1598" t="str">
        <f>Work!$BK$8</f>
        <v>21-79+  (Moderate)</v>
      </c>
      <c r="AL8" s="1716">
        <f>Work!$BL$8</f>
        <v>51</v>
      </c>
      <c r="AM8" s="1536" t="str">
        <f>IF(Adversarial,Work!$BO$8,"n/a")</f>
        <v>Moderate</v>
      </c>
      <c r="AN8" s="1666">
        <f>IF(Adversarial, Work!$BP$8,"n/a")</f>
        <v>65</v>
      </c>
      <c r="AO8" s="1666" t="str">
        <f>IF(Adversarial, Work!$BQ$8,"n/a")</f>
        <v>Moderate</v>
      </c>
    </row>
    <row r="9" spans="2:42" ht="15" thickTop="1">
      <c r="V9" s="759"/>
      <c r="W9" s="759"/>
      <c r="X9" s="759"/>
      <c r="Y9" s="759"/>
      <c r="AB9" s="759"/>
      <c r="AC9" s="759"/>
      <c r="AP9" s="757"/>
    </row>
    <row r="11" spans="2:42">
      <c r="AD11" t="s">
        <v>1014</v>
      </c>
    </row>
    <row r="19" spans="42:42" s="129" customFormat="1"/>
    <row r="24" spans="42:42" s="129" customFormat="1"/>
    <row r="31" spans="42:42">
      <c r="AP31" t="s">
        <v>1740</v>
      </c>
    </row>
  </sheetData>
  <mergeCells count="44">
    <mergeCell ref="AN5:AO5"/>
    <mergeCell ref="E1:AO1"/>
    <mergeCell ref="AF5:AH5"/>
    <mergeCell ref="AF2:AH2"/>
    <mergeCell ref="AM2:AO2"/>
    <mergeCell ref="AM3:AO3"/>
    <mergeCell ref="AM4:AO4"/>
    <mergeCell ref="J2:O2"/>
    <mergeCell ref="J3:K3"/>
    <mergeCell ref="L3:M3"/>
    <mergeCell ref="N3:O3"/>
    <mergeCell ref="P2:Q2"/>
    <mergeCell ref="P3:Q4"/>
    <mergeCell ref="E4:F4"/>
    <mergeCell ref="J4:K4"/>
    <mergeCell ref="L4:M4"/>
    <mergeCell ref="E5:F5"/>
    <mergeCell ref="G5:H5"/>
    <mergeCell ref="J5:K5"/>
    <mergeCell ref="L5:M5"/>
    <mergeCell ref="N5:O5"/>
    <mergeCell ref="Z4:AC4"/>
    <mergeCell ref="V4:W4"/>
    <mergeCell ref="T2:W3"/>
    <mergeCell ref="N4:O4"/>
    <mergeCell ref="T4:U5"/>
    <mergeCell ref="P5:Q5"/>
    <mergeCell ref="R5:S5"/>
    <mergeCell ref="AI4:AJ4"/>
    <mergeCell ref="AK4:AL4"/>
    <mergeCell ref="AI3:AL3"/>
    <mergeCell ref="AI2:AL2"/>
    <mergeCell ref="E2:F3"/>
    <mergeCell ref="X2:AC3"/>
    <mergeCell ref="X4:Y5"/>
    <mergeCell ref="AD2:AE4"/>
    <mergeCell ref="R2:S4"/>
    <mergeCell ref="G2:I3"/>
    <mergeCell ref="AB5:AC5"/>
    <mergeCell ref="AD5:AE5"/>
    <mergeCell ref="AI5:AJ5"/>
    <mergeCell ref="G4:I4"/>
    <mergeCell ref="V5:W5"/>
    <mergeCell ref="Z5:AA5"/>
  </mergeCells>
  <conditionalFormatting sqref="H7">
    <cfRule type="expression" dxfId="192" priority="27">
      <formula>SmeRatingDTF2</formula>
    </cfRule>
  </conditionalFormatting>
  <conditionalFormatting sqref="W7">
    <cfRule type="expression" dxfId="191" priority="17">
      <formula>CheckF4Val_DTABLES</formula>
    </cfRule>
  </conditionalFormatting>
  <conditionalFormatting sqref="AB5:AB6">
    <cfRule type="expression" dxfId="190" priority="14">
      <formula>SmeRatingD3</formula>
    </cfRule>
  </conditionalFormatting>
  <conditionalFormatting sqref="AB5:AC6">
    <cfRule type="expression" dxfId="189" priority="11">
      <formula>SmeRatingDTF5</formula>
    </cfRule>
  </conditionalFormatting>
  <conditionalFormatting sqref="AC7">
    <cfRule type="expression" dxfId="188" priority="13">
      <formula>SmeRatingDTF5</formula>
    </cfRule>
    <cfRule type="expression" dxfId="187" priority="16">
      <formula>SmeRatingD3</formula>
    </cfRule>
  </conditionalFormatting>
  <conditionalFormatting sqref="AA7">
    <cfRule type="expression" dxfId="186" priority="12">
      <formula>CheckF4Val_DTABLES</formula>
    </cfRule>
  </conditionalFormatting>
  <conditionalFormatting sqref="AO7">
    <cfRule type="expression" dxfId="185" priority="1">
      <formula>SmeRatingD3</formula>
    </cfRule>
  </conditionalFormatting>
  <pageMargins left="0.7" right="0.7" top="0.75" bottom="0.75" header="0.3" footer="0.3"/>
  <pageSetup orientation="portrait" verticalDpi="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92D050"/>
  </sheetPr>
  <dimension ref="B1:AH36"/>
  <sheetViews>
    <sheetView workbookViewId="0"/>
  </sheetViews>
  <sheetFormatPr defaultRowHeight="14.6"/>
  <cols>
    <col min="2" max="2" width="12.69140625" customWidth="1"/>
    <col min="3" max="4" width="18.69140625" customWidth="1"/>
    <col min="5" max="5" width="56.69140625" customWidth="1"/>
    <col min="6" max="6" width="42.69140625" customWidth="1"/>
    <col min="7" max="7" width="52.69140625" customWidth="1"/>
    <col min="8" max="8" width="44.69140625" customWidth="1"/>
    <col min="9" max="9" width="33.15234375" customWidth="1"/>
    <col min="10" max="10" width="59.3828125" customWidth="1"/>
    <col min="11" max="11" width="29.84375" customWidth="1"/>
    <col min="12" max="12" width="58.69140625" customWidth="1"/>
    <col min="13" max="13" width="34.69140625" customWidth="1"/>
    <col min="14" max="14" width="65.15234375" customWidth="1"/>
    <col min="15" max="15" width="42.69140625" customWidth="1"/>
    <col min="16" max="16" width="30.69140625" customWidth="1"/>
    <col min="17" max="17" width="58.69140625" customWidth="1"/>
    <col min="18" max="18" width="150.69140625" customWidth="1"/>
    <col min="19" max="19" width="40.69140625" customWidth="1"/>
    <col min="20" max="20" width="34.69140625" customWidth="1"/>
    <col min="21" max="21" width="55.15234375" customWidth="1"/>
    <col min="22" max="22" width="49.15234375" customWidth="1"/>
    <col min="23" max="23" width="48.69140625" customWidth="1"/>
    <col min="24" max="24" width="36.69140625" customWidth="1"/>
    <col min="25" max="25" width="52.69140625" customWidth="1"/>
    <col min="26" max="26" width="26.69140625" customWidth="1"/>
    <col min="27" max="27" width="59.53515625" customWidth="1"/>
    <col min="28" max="28" width="38.69140625" customWidth="1"/>
    <col min="29" max="29" width="146.69140625" customWidth="1"/>
    <col min="30" max="30" width="46.69140625" customWidth="1"/>
    <col min="31" max="31" width="34.69140625" customWidth="1"/>
    <col min="32" max="32" width="38.69140625" customWidth="1"/>
    <col min="33" max="33" width="44.69140625" customWidth="1"/>
    <col min="34" max="34" width="50.53515625" customWidth="1"/>
  </cols>
  <sheetData>
    <row r="1" spans="2:34" ht="15" thickBot="1"/>
    <row r="2" spans="2:34" s="246" customFormat="1" ht="19.3" thickTop="1" thickBot="1">
      <c r="E2" s="2199" t="s">
        <v>1197</v>
      </c>
      <c r="F2" s="2200"/>
      <c r="G2" s="2200"/>
      <c r="H2" s="2200"/>
      <c r="I2" s="2200"/>
      <c r="J2" s="2200"/>
      <c r="K2" s="2200"/>
      <c r="L2" s="2200"/>
      <c r="M2" s="2200"/>
      <c r="N2" s="2200"/>
      <c r="O2" s="2200"/>
      <c r="P2" s="2200"/>
      <c r="Q2" s="2200"/>
      <c r="R2" s="2200"/>
      <c r="S2" s="2200"/>
      <c r="T2" s="2200"/>
      <c r="U2" s="2200"/>
      <c r="V2" s="2200"/>
      <c r="W2" s="2200"/>
      <c r="X2" s="2200"/>
      <c r="Y2" s="2200"/>
      <c r="Z2" s="2200"/>
      <c r="AA2" s="2200"/>
      <c r="AB2" s="2200"/>
      <c r="AC2" s="2200"/>
      <c r="AD2" s="2200"/>
      <c r="AE2" s="2200"/>
      <c r="AF2" s="2200"/>
      <c r="AG2" s="2200"/>
      <c r="AH2" s="2201"/>
    </row>
    <row r="3" spans="2:34" s="246" customFormat="1" ht="19.3" thickTop="1" thickBot="1">
      <c r="E3" s="1596" t="s">
        <v>1716</v>
      </c>
      <c r="F3" s="2203" t="s">
        <v>1717</v>
      </c>
      <c r="G3" s="2205"/>
      <c r="H3" s="2208" t="s">
        <v>1233</v>
      </c>
      <c r="I3" s="2207"/>
      <c r="J3" s="2204" t="s">
        <v>1718</v>
      </c>
      <c r="K3" s="2205"/>
      <c r="L3" s="2206" t="s">
        <v>1719</v>
      </c>
      <c r="M3" s="2207"/>
      <c r="N3" s="2180" t="s">
        <v>1720</v>
      </c>
      <c r="O3" s="2181"/>
      <c r="P3" s="2181"/>
      <c r="Q3" s="2181"/>
      <c r="R3" s="2182"/>
      <c r="S3" s="2180" t="s">
        <v>1721</v>
      </c>
      <c r="T3" s="2181"/>
      <c r="U3" s="2181"/>
      <c r="V3" s="2182"/>
      <c r="W3" s="2149" t="s">
        <v>1732</v>
      </c>
      <c r="X3" s="2150"/>
      <c r="Y3" s="2151" t="s">
        <v>1722</v>
      </c>
      <c r="Z3" s="2202"/>
      <c r="AA3" s="2152"/>
      <c r="AB3" s="2180" t="s">
        <v>1723</v>
      </c>
      <c r="AC3" s="2181"/>
      <c r="AD3" s="2181"/>
      <c r="AE3" s="2182"/>
      <c r="AF3" s="2180" t="s">
        <v>1724</v>
      </c>
      <c r="AG3" s="2181"/>
      <c r="AH3" s="2182"/>
    </row>
    <row r="4" spans="2:34" s="246" customFormat="1" ht="19.3" thickTop="1" thickBot="1">
      <c r="B4" s="1590" t="s">
        <v>1938</v>
      </c>
      <c r="C4" s="1590"/>
      <c r="D4" s="1590"/>
      <c r="E4" s="2218" t="s">
        <v>1198</v>
      </c>
      <c r="F4" s="2107" t="s">
        <v>1208</v>
      </c>
      <c r="G4" s="2109"/>
      <c r="H4" s="2208"/>
      <c r="I4" s="2207"/>
      <c r="J4" s="2098" t="s">
        <v>750</v>
      </c>
      <c r="K4" s="2100"/>
      <c r="L4" s="2206"/>
      <c r="M4" s="2207"/>
      <c r="N4" s="2221" t="s">
        <v>1223</v>
      </c>
      <c r="O4" s="2222"/>
      <c r="P4" s="2223"/>
      <c r="Q4" s="2224" t="s">
        <v>923</v>
      </c>
      <c r="R4" s="2225"/>
      <c r="S4" s="2228" t="s">
        <v>893</v>
      </c>
      <c r="T4" s="2229"/>
      <c r="U4" s="1998" t="s">
        <v>1193</v>
      </c>
      <c r="V4" s="2000"/>
      <c r="W4" s="2203"/>
      <c r="X4" s="2205"/>
      <c r="Y4" s="2203"/>
      <c r="Z4" s="2204"/>
      <c r="AA4" s="2205"/>
      <c r="AB4" s="2183" t="s">
        <v>1192</v>
      </c>
      <c r="AC4" s="2184"/>
      <c r="AD4" s="2184"/>
      <c r="AE4" s="2185"/>
      <c r="AF4" s="2183" t="s">
        <v>1738</v>
      </c>
      <c r="AG4" s="2184"/>
      <c r="AH4" s="2185"/>
    </row>
    <row r="5" spans="2:34" s="246" customFormat="1" ht="19.3" thickTop="1" thickBot="1">
      <c r="E5" s="2219"/>
      <c r="F5" s="2075" t="s">
        <v>1168</v>
      </c>
      <c r="G5" s="2211"/>
      <c r="H5" s="2209"/>
      <c r="I5" s="2210"/>
      <c r="J5" s="2104"/>
      <c r="K5" s="2106"/>
      <c r="L5" s="2206"/>
      <c r="M5" s="2207"/>
      <c r="N5" s="1592" t="s">
        <v>1219</v>
      </c>
      <c r="O5" s="2212" t="s">
        <v>1218</v>
      </c>
      <c r="P5" s="2213"/>
      <c r="Q5" s="2226"/>
      <c r="R5" s="2227"/>
      <c r="S5" s="2230"/>
      <c r="T5" s="2231"/>
      <c r="U5" s="2214" t="s">
        <v>1731</v>
      </c>
      <c r="V5" s="2215"/>
      <c r="W5" s="2216" t="s">
        <v>1156</v>
      </c>
      <c r="X5" s="2217"/>
      <c r="Y5" s="2149" t="s">
        <v>1160</v>
      </c>
      <c r="Z5" s="2220"/>
      <c r="AA5" s="2150"/>
      <c r="AB5" s="2232" t="s">
        <v>1735</v>
      </c>
      <c r="AC5" s="2233"/>
      <c r="AD5" s="2234" t="s">
        <v>1191</v>
      </c>
      <c r="AE5" s="2235"/>
      <c r="AF5" s="1624" t="s">
        <v>1734</v>
      </c>
      <c r="AG5" s="2107" t="s">
        <v>1739</v>
      </c>
      <c r="AH5" s="2109"/>
    </row>
    <row r="6" spans="2:34" s="246" customFormat="1" ht="19.3" thickTop="1" thickBot="1">
      <c r="C6" s="1591" t="s">
        <v>170</v>
      </c>
      <c r="D6" s="1591" t="s">
        <v>226</v>
      </c>
      <c r="E6" s="1513" t="s">
        <v>1940</v>
      </c>
      <c r="F6" s="628" t="s">
        <v>1802</v>
      </c>
      <c r="G6" s="628" t="s">
        <v>1803</v>
      </c>
      <c r="H6" s="1727" t="s">
        <v>171</v>
      </c>
      <c r="I6" s="1727" t="s">
        <v>175</v>
      </c>
      <c r="J6" s="1529" t="s">
        <v>931</v>
      </c>
      <c r="K6" s="1529" t="s">
        <v>1010</v>
      </c>
      <c r="L6" s="1727" t="s">
        <v>1013</v>
      </c>
      <c r="M6" s="1726" t="s">
        <v>1869</v>
      </c>
      <c r="N6" s="1694" t="s">
        <v>1219</v>
      </c>
      <c r="O6" s="1674" t="s">
        <v>1851</v>
      </c>
      <c r="P6" s="1674" t="s">
        <v>1910</v>
      </c>
      <c r="Q6" s="1700" t="s">
        <v>1923</v>
      </c>
      <c r="R6" s="1723" t="s">
        <v>924</v>
      </c>
      <c r="S6" s="1673" t="s">
        <v>893</v>
      </c>
      <c r="T6" s="1673" t="s">
        <v>894</v>
      </c>
      <c r="U6" s="1731" t="s">
        <v>933</v>
      </c>
      <c r="V6" s="1730" t="s">
        <v>895</v>
      </c>
      <c r="W6" s="1706" t="s">
        <v>1870</v>
      </c>
      <c r="X6" s="1706" t="s">
        <v>938</v>
      </c>
      <c r="Y6" s="573" t="s">
        <v>1124</v>
      </c>
      <c r="Z6" s="573" t="s">
        <v>1872</v>
      </c>
      <c r="AA6" s="573" t="s">
        <v>1751</v>
      </c>
      <c r="AB6" s="1714" t="s">
        <v>1883</v>
      </c>
      <c r="AC6" s="1516" t="s">
        <v>995</v>
      </c>
      <c r="AD6" s="1516" t="s">
        <v>1887</v>
      </c>
      <c r="AE6" s="1516" t="s">
        <v>997</v>
      </c>
      <c r="AF6" s="1623" t="s">
        <v>1733</v>
      </c>
      <c r="AG6" s="1516" t="s">
        <v>1934</v>
      </c>
      <c r="AH6" s="1516" t="s">
        <v>1936</v>
      </c>
    </row>
    <row r="7" spans="2:34" s="246" customFormat="1" ht="19.3" thickTop="1" thickBot="1">
      <c r="B7" s="1570" t="s">
        <v>1297</v>
      </c>
      <c r="C7" s="1571" t="s">
        <v>1882</v>
      </c>
      <c r="D7" s="1571" t="s">
        <v>1881</v>
      </c>
      <c r="E7" s="1671" t="s">
        <v>1939</v>
      </c>
      <c r="F7" s="628" t="s">
        <v>1941</v>
      </c>
      <c r="G7" s="628" t="s">
        <v>1942</v>
      </c>
      <c r="H7" s="1728" t="s">
        <v>1903</v>
      </c>
      <c r="I7" s="1626" t="s">
        <v>1943</v>
      </c>
      <c r="J7" s="628" t="s">
        <v>1894</v>
      </c>
      <c r="K7" s="628" t="s">
        <v>1944</v>
      </c>
      <c r="L7" s="1521" t="s">
        <v>1873</v>
      </c>
      <c r="M7" s="573" t="s">
        <v>1945</v>
      </c>
      <c r="N7" s="1729" t="s">
        <v>1845</v>
      </c>
      <c r="O7" s="1663" t="s">
        <v>1946</v>
      </c>
      <c r="P7" s="1663" t="s">
        <v>1947</v>
      </c>
      <c r="Q7" s="628" t="s">
        <v>1948</v>
      </c>
      <c r="R7" s="1663" t="s">
        <v>1909</v>
      </c>
      <c r="S7" s="1521" t="s">
        <v>1949</v>
      </c>
      <c r="T7" s="472" t="s">
        <v>1947</v>
      </c>
      <c r="U7" s="1521" t="s">
        <v>1867</v>
      </c>
      <c r="V7" s="472" t="s">
        <v>1911</v>
      </c>
      <c r="W7" s="1663" t="s">
        <v>1880</v>
      </c>
      <c r="X7" s="1663" t="s">
        <v>1950</v>
      </c>
      <c r="Y7" s="628" t="s">
        <v>1876</v>
      </c>
      <c r="Z7" s="628" t="s">
        <v>1877</v>
      </c>
      <c r="AA7" s="628" t="s">
        <v>1878</v>
      </c>
      <c r="AB7" s="1663" t="s">
        <v>1912</v>
      </c>
      <c r="AC7" s="628" t="s">
        <v>1914</v>
      </c>
      <c r="AD7" s="628" t="s">
        <v>1951</v>
      </c>
      <c r="AE7" s="628" t="s">
        <v>1952</v>
      </c>
      <c r="AF7" s="1521" t="s">
        <v>1953</v>
      </c>
      <c r="AG7" s="1521" t="s">
        <v>1954</v>
      </c>
      <c r="AH7" s="472" t="s">
        <v>1931</v>
      </c>
    </row>
    <row r="8" spans="2:34" s="1595" customFormat="1" ht="16.75" thickTop="1" thickBot="1">
      <c r="B8" s="1593" t="s">
        <v>1839</v>
      </c>
      <c r="C8" s="1594" t="str">
        <f>IF(Adversarial, "",Work!$J$8)</f>
        <v/>
      </c>
      <c r="D8" s="1594" t="str">
        <f>IF(Adversarial, "", Work!$B$8)</f>
        <v/>
      </c>
      <c r="E8" s="1535" t="str">
        <f>Work!AE8</f>
        <v>n/a</v>
      </c>
      <c r="F8" s="1662" t="str">
        <f>Work!$L$8</f>
        <v>Adversarial</v>
      </c>
      <c r="G8" s="1535" t="str">
        <f>Work!$M$8</f>
        <v>Organization Definition #1 (Extra )</v>
      </c>
      <c r="H8" s="1544" t="str">
        <f>IF(Adversarial, "n/a", Work!$X$8)</f>
        <v>n/a</v>
      </c>
      <c r="I8" s="1544" t="str">
        <f>IF(Adversarial, "n/a", Work!$Y$8)</f>
        <v>n/a</v>
      </c>
      <c r="J8" s="1544" t="str">
        <f>IF(Adversarial, "n/a",Work!$AF$8)</f>
        <v>n/a</v>
      </c>
      <c r="K8" s="1544" t="str">
        <f>IF(Adversarial, "n/a", Work!$AG$8)</f>
        <v>n/a</v>
      </c>
      <c r="L8" s="1544" t="str">
        <f>IF(Adversarial, "n/a", Work!$AY$8)</f>
        <v>n/a</v>
      </c>
      <c r="M8" s="1544" t="str">
        <f>IF(Adversarial, "n/a", Work!$AZ$8)</f>
        <v>n/a</v>
      </c>
      <c r="N8" s="1544" t="str">
        <f>IF(Adversarial, "n/a", Work!$AJ$8)</f>
        <v>n/a</v>
      </c>
      <c r="O8" s="1661" t="str">
        <f>IF(Adversarial, "n/a", Work!$AK$8)</f>
        <v>n/a</v>
      </c>
      <c r="P8" s="1661" t="str">
        <f>IF(Adversarial, "n/a", Work!$AL$8)</f>
        <v>n/a</v>
      </c>
      <c r="Q8" s="1544" t="str">
        <f>IF(Adversarial, "n/a", Work!$AN$8)</f>
        <v>n/a</v>
      </c>
      <c r="R8" s="1661" t="str">
        <f>IF(Adversarial, "n/a", Work!$AO$8)</f>
        <v>n/a</v>
      </c>
      <c r="S8" s="1544" t="str">
        <f>IF(Adversarial, "n/a", Work!$AK$8)</f>
        <v>n/a</v>
      </c>
      <c r="T8" s="1544" t="str">
        <f>IF(Adversarial, "n/a", Work!$AL$8)</f>
        <v>n/a</v>
      </c>
      <c r="U8" s="1544" t="str">
        <f>IF(Adversarial, "n/a", Work!$AP$8)</f>
        <v>n/a</v>
      </c>
      <c r="V8" s="1661" t="str">
        <f>IF(Adversarial, "n/a", Work!$AQ$8)</f>
        <v>n/a</v>
      </c>
      <c r="W8" s="1662" t="str">
        <f>IF(Adversarial, "n/a",Work!$BA$8)</f>
        <v>n/a</v>
      </c>
      <c r="X8" s="1666" t="str">
        <f>IF(Adversarial, "n/a", Work!$BB$8)</f>
        <v>n/a</v>
      </c>
      <c r="Y8" s="1536" t="str">
        <f>IF(Adversarial, "n/a", Work!$BE$8)</f>
        <v>n/a</v>
      </c>
      <c r="Z8" s="1732" t="str">
        <f>IF(Adversarial, "n/a", Work!$BF$8)</f>
        <v>n/a</v>
      </c>
      <c r="AA8" s="1733" t="str">
        <f>IF(Adversarial, "n/a", Work!$BG$8)</f>
        <v>n/a</v>
      </c>
      <c r="AB8" s="1666" t="str">
        <f>IF(Adversarial, "n/a", Work!$BI$8)</f>
        <v>n/a</v>
      </c>
      <c r="AC8" s="1536" t="str">
        <f>IF(Adversarial, "n/a", Work!$BJ$8)</f>
        <v>n/a</v>
      </c>
      <c r="AD8" s="1536" t="str">
        <f>IF(Adversarial, "n/a", Work!$BK$8)</f>
        <v>n/a</v>
      </c>
      <c r="AE8" s="1536" t="str">
        <f>IF(Adversarial, "n/a", Work!$BL$8)</f>
        <v>n/a</v>
      </c>
      <c r="AF8" s="1536" t="str">
        <f>IF(Adversarial, "n/a", Work!$BO$8)</f>
        <v>n/a</v>
      </c>
      <c r="AG8" s="1536" t="str">
        <f>IF(Adversarial, "n/a",Work!$BP$8)</f>
        <v>n/a</v>
      </c>
      <c r="AH8" s="1536" t="str">
        <f>IF(Adversarial, "n/a", Work!$BQ$8)</f>
        <v>n/a</v>
      </c>
    </row>
    <row r="9" spans="2:34" ht="15" thickTop="1"/>
    <row r="19" spans="18:18" s="129" customFormat="1"/>
    <row r="23" spans="18:18" s="129" customFormat="1"/>
    <row r="28" spans="18:18" ht="18.45">
      <c r="R28" s="525"/>
    </row>
    <row r="36" spans="10:10">
      <c r="J36" t="s">
        <v>1163</v>
      </c>
    </row>
  </sheetData>
  <mergeCells count="28">
    <mergeCell ref="W3:X4"/>
    <mergeCell ref="AB5:AC5"/>
    <mergeCell ref="AD5:AE5"/>
    <mergeCell ref="AB4:AE4"/>
    <mergeCell ref="AF4:AH4"/>
    <mergeCell ref="AF3:AH3"/>
    <mergeCell ref="AG5:AH5"/>
    <mergeCell ref="J3:K3"/>
    <mergeCell ref="N4:P4"/>
    <mergeCell ref="Q4:R5"/>
    <mergeCell ref="S4:T5"/>
    <mergeCell ref="N3:R3"/>
    <mergeCell ref="E2:AH2"/>
    <mergeCell ref="Y3:AA4"/>
    <mergeCell ref="L3:M5"/>
    <mergeCell ref="J4:K5"/>
    <mergeCell ref="H3:I5"/>
    <mergeCell ref="F5:G5"/>
    <mergeCell ref="O5:P5"/>
    <mergeCell ref="U5:V5"/>
    <mergeCell ref="W5:X5"/>
    <mergeCell ref="F3:G3"/>
    <mergeCell ref="U4:V4"/>
    <mergeCell ref="S3:V3"/>
    <mergeCell ref="AB3:AE3"/>
    <mergeCell ref="E4:E5"/>
    <mergeCell ref="Y5:AA5"/>
    <mergeCell ref="F4:G4"/>
  </mergeCells>
  <conditionalFormatting sqref="I7">
    <cfRule type="expression" dxfId="184" priority="44">
      <formula>SmeRatingD6</formula>
    </cfRule>
  </conditionalFormatting>
  <conditionalFormatting sqref="H3">
    <cfRule type="expression" dxfId="183" priority="43">
      <formula>SmeRatingD6</formula>
    </cfRule>
  </conditionalFormatting>
  <conditionalFormatting sqref="H7:I7 H3">
    <cfRule type="expression" dxfId="182" priority="42">
      <formula>Adversarial</formula>
    </cfRule>
  </conditionalFormatting>
  <conditionalFormatting sqref="L3">
    <cfRule type="expression" dxfId="181" priority="38">
      <formula>SmeRatingD3</formula>
    </cfRule>
  </conditionalFormatting>
  <conditionalFormatting sqref="M7">
    <cfRule type="expression" dxfId="180" priority="39">
      <formula>SmeRatingD3</formula>
    </cfRule>
  </conditionalFormatting>
  <conditionalFormatting sqref="L7:M7 L3">
    <cfRule type="expression" dxfId="179" priority="36">
      <formula>Adversarial</formula>
    </cfRule>
  </conditionalFormatting>
  <conditionalFormatting sqref="L3">
    <cfRule type="expression" dxfId="178" priority="37">
      <formula>SmeRatingG3</formula>
    </cfRule>
  </conditionalFormatting>
  <conditionalFormatting sqref="R7">
    <cfRule type="expression" dxfId="177" priority="26">
      <formula>CheckF4Val_DTABLES</formula>
    </cfRule>
  </conditionalFormatting>
  <conditionalFormatting sqref="U5:U6">
    <cfRule type="expression" dxfId="176" priority="17">
      <formula>SmeRatingD3</formula>
    </cfRule>
  </conditionalFormatting>
  <conditionalFormatting sqref="V7">
    <cfRule type="expression" dxfId="175" priority="16">
      <formula>SmeRatingDTF5</formula>
    </cfRule>
    <cfRule type="expression" dxfId="174" priority="23">
      <formula>SmeRatingD3</formula>
    </cfRule>
  </conditionalFormatting>
  <conditionalFormatting sqref="U5:V6">
    <cfRule type="expression" dxfId="173" priority="15">
      <formula>SmeRatingDTF5</formula>
    </cfRule>
  </conditionalFormatting>
  <conditionalFormatting sqref="T7">
    <cfRule type="expression" dxfId="172" priority="4">
      <formula>SmeRatingDTF2</formula>
    </cfRule>
  </conditionalFormatting>
  <conditionalFormatting sqref="AH7">
    <cfRule type="expression" dxfId="171" priority="1">
      <formula>SmeRatingD3</formula>
    </cfRule>
  </conditionalFormatting>
  <dataValidations count="4">
    <dataValidation type="decimal" allowBlank="1" showInputMessage="1" showErrorMessage="1" sqref="Z8 X8 V8 P8 M8 I8 AG8 AE8" xr:uid="{00000000-0002-0000-0800-000000000000}">
      <formula1>0</formula1>
      <formula2>100</formula2>
    </dataValidation>
    <dataValidation type="whole" allowBlank="1" showInputMessage="1" showErrorMessage="1" sqref="T8" xr:uid="{00000000-0002-0000-0800-000001000000}">
      <formula1>0</formula1>
      <formula2>100</formula2>
    </dataValidation>
    <dataValidation type="whole" allowBlank="1" showInputMessage="1" showErrorMessage="1" sqref="K8" xr:uid="{00000000-0002-0000-0800-000002000000}">
      <formula1>0</formula1>
      <formula2>1</formula2>
    </dataValidation>
    <dataValidation type="whole" allowBlank="1" showInputMessage="1" showErrorMessage="1" sqref="D8" xr:uid="{00000000-0002-0000-0800-000003000000}">
      <formula1>0</formula1>
      <formula2>500</formula2>
    </dataValidation>
  </dataValidations>
  <pageMargins left="0.7" right="0.7" top="0.75" bottom="0.75" header="0.3" footer="0.3"/>
  <pageSetup orientation="portrait" verticalDpi="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5" tint="0.39997558519241921"/>
  </sheetPr>
  <dimension ref="B1:Z59"/>
  <sheetViews>
    <sheetView workbookViewId="0"/>
  </sheetViews>
  <sheetFormatPr defaultRowHeight="14.6"/>
  <cols>
    <col min="16" max="16" width="18.69140625" customWidth="1"/>
    <col min="18" max="18" width="18.69140625" customWidth="1"/>
    <col min="20" max="20" width="18.69140625" customWidth="1"/>
    <col min="22" max="22" width="18.69140625" customWidth="1"/>
    <col min="24" max="24" width="14.69140625" customWidth="1"/>
    <col min="26" max="26" width="18.69140625" customWidth="1"/>
  </cols>
  <sheetData>
    <row r="1" spans="15:26" ht="15" thickTop="1">
      <c r="O1" s="1260" t="s">
        <v>1502</v>
      </c>
      <c r="P1" s="97"/>
      <c r="Q1" s="1260" t="s">
        <v>1503</v>
      </c>
      <c r="R1" s="96"/>
      <c r="S1" s="1260" t="s">
        <v>1504</v>
      </c>
      <c r="T1" s="97"/>
      <c r="U1" s="1260" t="s">
        <v>1505</v>
      </c>
      <c r="V1" s="97"/>
      <c r="W1" s="1260" t="s">
        <v>1506</v>
      </c>
      <c r="X1" s="96"/>
      <c r="Y1" s="1260" t="s">
        <v>1507</v>
      </c>
      <c r="Z1" s="97"/>
    </row>
    <row r="2" spans="15:26">
      <c r="O2" s="1261">
        <v>1</v>
      </c>
      <c r="P2" s="88"/>
      <c r="Q2" s="1261">
        <v>1</v>
      </c>
      <c r="S2" s="1261">
        <v>1</v>
      </c>
      <c r="T2" s="1263"/>
      <c r="U2" s="1261">
        <v>1</v>
      </c>
      <c r="V2" s="1263"/>
      <c r="W2" s="1261">
        <v>1</v>
      </c>
      <c r="X2" s="786"/>
      <c r="Y2" s="1261">
        <v>1</v>
      </c>
      <c r="Z2" s="1263"/>
    </row>
    <row r="3" spans="15:26">
      <c r="O3" s="1261">
        <v>2</v>
      </c>
      <c r="P3" s="88" t="s">
        <v>1511</v>
      </c>
      <c r="Q3" s="1261">
        <v>2</v>
      </c>
      <c r="R3" t="s">
        <v>1512</v>
      </c>
      <c r="S3" s="1261">
        <v>2</v>
      </c>
      <c r="T3" s="1263" t="s">
        <v>1520</v>
      </c>
      <c r="U3" s="1261">
        <v>2</v>
      </c>
      <c r="V3" s="1263" t="s">
        <v>1522</v>
      </c>
      <c r="W3" s="1261">
        <v>2</v>
      </c>
      <c r="X3" s="786" t="s">
        <v>1517</v>
      </c>
      <c r="Y3" s="1261">
        <v>2</v>
      </c>
      <c r="Z3" s="1263" t="s">
        <v>1526</v>
      </c>
    </row>
    <row r="4" spans="15:26">
      <c r="O4" s="1261">
        <v>3</v>
      </c>
      <c r="P4" s="88" t="s">
        <v>1514</v>
      </c>
      <c r="Q4" s="1261">
        <v>3</v>
      </c>
      <c r="R4" t="s">
        <v>1513</v>
      </c>
      <c r="S4" s="1261">
        <v>3</v>
      </c>
      <c r="T4" s="1263" t="s">
        <v>1533</v>
      </c>
      <c r="U4" s="1261">
        <v>3</v>
      </c>
      <c r="V4" s="1263" t="s">
        <v>1522</v>
      </c>
      <c r="W4" s="1261">
        <v>3</v>
      </c>
      <c r="X4" s="786" t="s">
        <v>1525</v>
      </c>
      <c r="Y4" s="1261">
        <v>3</v>
      </c>
      <c r="Z4" s="1263" t="s">
        <v>1519</v>
      </c>
    </row>
    <row r="5" spans="15:26" ht="15" thickBot="1">
      <c r="O5" s="1261">
        <v>4</v>
      </c>
      <c r="P5" s="88" t="s">
        <v>1515</v>
      </c>
      <c r="Q5" s="1261">
        <v>4</v>
      </c>
      <c r="R5" t="s">
        <v>1516</v>
      </c>
      <c r="S5" s="1261">
        <v>4</v>
      </c>
      <c r="T5" s="1263" t="s">
        <v>1510</v>
      </c>
      <c r="U5" s="1261">
        <v>4</v>
      </c>
      <c r="V5" s="1263" t="s">
        <v>1523</v>
      </c>
      <c r="W5" s="1262">
        <v>4</v>
      </c>
      <c r="X5" s="1265">
        <v>44</v>
      </c>
      <c r="Y5" s="1261">
        <v>4</v>
      </c>
      <c r="Z5" s="1263" t="s">
        <v>1527</v>
      </c>
    </row>
    <row r="6" spans="15:26" ht="15.45" thickTop="1" thickBot="1">
      <c r="O6" s="1261">
        <v>5</v>
      </c>
      <c r="P6" s="88" t="s">
        <v>1519</v>
      </c>
      <c r="Q6" s="1262">
        <v>5</v>
      </c>
      <c r="R6" s="1265" t="s">
        <v>1529</v>
      </c>
      <c r="S6" s="1261">
        <v>5</v>
      </c>
      <c r="T6" s="1263" t="s">
        <v>1521</v>
      </c>
      <c r="U6" s="1261">
        <v>5</v>
      </c>
      <c r="V6" s="1263" t="s">
        <v>1524</v>
      </c>
      <c r="W6" s="23"/>
      <c r="Y6" s="1261">
        <v>5</v>
      </c>
      <c r="Z6" s="1263" t="s">
        <v>1531</v>
      </c>
    </row>
    <row r="7" spans="15:26" ht="15.45" thickTop="1" thickBot="1">
      <c r="O7" s="1261">
        <v>6</v>
      </c>
      <c r="P7" s="88" t="s">
        <v>1519</v>
      </c>
      <c r="Q7" s="23"/>
      <c r="S7" s="1262">
        <v>6</v>
      </c>
      <c r="T7" s="1264" t="s">
        <v>1532</v>
      </c>
      <c r="U7" s="1262">
        <v>6</v>
      </c>
      <c r="V7" s="1264" t="s">
        <v>1530</v>
      </c>
      <c r="W7" s="23"/>
      <c r="Y7" s="1261">
        <v>6</v>
      </c>
      <c r="Z7" s="1263" t="s">
        <v>1528</v>
      </c>
    </row>
    <row r="8" spans="15:26" ht="15.45" thickTop="1" thickBot="1">
      <c r="O8" s="1261">
        <v>7</v>
      </c>
      <c r="P8" s="88" t="s">
        <v>1509</v>
      </c>
      <c r="Q8" s="23"/>
      <c r="S8" s="23"/>
      <c r="U8" s="23"/>
      <c r="W8" s="23"/>
      <c r="Y8" s="1262">
        <v>7</v>
      </c>
      <c r="Z8" s="1264" t="s">
        <v>1531</v>
      </c>
    </row>
    <row r="9" spans="15:26" ht="15.45" thickTop="1" thickBot="1">
      <c r="O9" s="1262">
        <v>8</v>
      </c>
      <c r="P9" s="807" t="s">
        <v>1508</v>
      </c>
      <c r="Q9" s="23"/>
      <c r="S9" s="23"/>
      <c r="U9" s="23"/>
      <c r="W9" s="23"/>
      <c r="Y9" s="23"/>
    </row>
    <row r="10" spans="15:26" ht="15" thickTop="1"/>
    <row r="54" spans="2:2">
      <c r="B54" t="s">
        <v>1765</v>
      </c>
    </row>
    <row r="55" spans="2:2">
      <c r="B55" t="s">
        <v>1766</v>
      </c>
    </row>
    <row r="57" spans="2:2">
      <c r="B57" t="s">
        <v>1767</v>
      </c>
    </row>
    <row r="59" spans="2:2">
      <c r="B59" s="17" t="s">
        <v>219</v>
      </c>
    </row>
  </sheetData>
  <hyperlinks>
    <hyperlink ref="B59" r:id="rId1" xr:uid="{00000000-0004-0000-0900-000000000000}"/>
  </hyperlinks>
  <pageMargins left="0.7" right="0.7" top="0.75" bottom="0.75" header="0.3" footer="0.3"/>
  <pageSetup orientation="portrait" verticalDpi="0"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FFC000"/>
  </sheetPr>
  <dimension ref="A1:DH75"/>
  <sheetViews>
    <sheetView topLeftCell="AA1" zoomScale="80" zoomScaleNormal="80" workbookViewId="0">
      <selection activeCell="AA5" sqref="AA5"/>
    </sheetView>
  </sheetViews>
  <sheetFormatPr defaultRowHeight="14.6"/>
  <cols>
    <col min="2" max="3" width="12.69140625" customWidth="1"/>
    <col min="4" max="4" width="10.69140625" customWidth="1"/>
    <col min="5" max="5" width="20.69140625" customWidth="1"/>
    <col min="6" max="6" width="10.69140625" customWidth="1"/>
    <col min="7" max="7" width="22.69140625" customWidth="1"/>
    <col min="8" max="8" width="10.69140625" customWidth="1"/>
    <col min="9" max="9" width="18.69140625" customWidth="1"/>
    <col min="10" max="10" width="10.69140625" customWidth="1"/>
    <col min="11" max="11" width="16.69140625" customWidth="1"/>
    <col min="12" max="12" width="10.69140625" customWidth="1"/>
    <col min="13" max="13" width="20.69140625" customWidth="1"/>
    <col min="14" max="14" width="10.69140625" customWidth="1"/>
    <col min="15" max="15" width="14.69140625" customWidth="1"/>
    <col min="16" max="16" width="10.69140625" customWidth="1"/>
    <col min="17" max="17" width="14.69140625" customWidth="1"/>
    <col min="18" max="18" width="10.69140625" customWidth="1"/>
    <col min="19" max="19" width="14.69140625" customWidth="1"/>
    <col min="20" max="20" width="10.69140625" customWidth="1"/>
    <col min="21" max="21" width="27.3046875" customWidth="1"/>
    <col min="22" max="22" width="10.69140625" customWidth="1"/>
    <col min="23" max="23" width="16.69140625" customWidth="1"/>
    <col min="24" max="24" width="10.69140625" customWidth="1"/>
    <col min="25" max="25" width="16.69140625" customWidth="1"/>
    <col min="26" max="26" width="12.69140625" customWidth="1"/>
    <col min="27" max="27" width="16.69140625" customWidth="1"/>
    <col min="28" max="28" width="10.69140625" customWidth="1"/>
    <col min="29" max="29" width="16.69140625" customWidth="1"/>
    <col min="30" max="30" width="12.69140625" customWidth="1"/>
    <col min="31" max="31" width="16.69140625" customWidth="1"/>
    <col min="32" max="32" width="12.69140625" customWidth="1"/>
    <col min="33" max="35" width="16.69140625" customWidth="1"/>
    <col min="36" max="36" width="10.69140625" customWidth="1"/>
    <col min="37" max="37" width="26.69140625" customWidth="1"/>
    <col min="38" max="38" width="10.69140625" customWidth="1"/>
    <col min="39" max="39" width="16.69140625" customWidth="1"/>
    <col min="40" max="40" width="10.69140625" customWidth="1"/>
    <col min="41" max="41" width="34.69140625" customWidth="1"/>
    <col min="42" max="80" width="10.69140625" customWidth="1"/>
    <col min="81" max="81" width="20.69140625" style="1897" customWidth="1"/>
    <col min="82" max="82" width="17.53515625" customWidth="1"/>
    <col min="83" max="83" width="14.69140625" customWidth="1"/>
    <col min="84" max="84" width="21.53515625" customWidth="1"/>
    <col min="85" max="85" width="14.69140625" customWidth="1"/>
    <col min="86" max="86" width="12.15234375" customWidth="1"/>
    <col min="87" max="87" width="14.69140625" customWidth="1"/>
    <col min="88" max="88" width="26.3828125" customWidth="1"/>
    <col min="89" max="89" width="14.69140625" customWidth="1"/>
    <col min="90" max="90" width="26.69140625" customWidth="1"/>
    <col min="91" max="91" width="16.69140625" customWidth="1"/>
    <col min="92" max="92" width="35.69140625" customWidth="1"/>
    <col min="93" max="93" width="16.69140625" customWidth="1"/>
    <col min="94" max="94" width="25.84375" customWidth="1"/>
    <col min="95" max="95" width="14.69140625" customWidth="1"/>
    <col min="96" max="96" width="16.3046875" customWidth="1"/>
    <col min="97" max="99" width="12.69140625" customWidth="1"/>
    <col min="100" max="100" width="20.69140625" customWidth="1"/>
    <col min="101" max="102" width="9.69140625" customWidth="1"/>
    <col min="103" max="103" width="30.3828125" style="38" customWidth="1"/>
    <col min="104" max="104" width="9.69140625" customWidth="1"/>
    <col min="105" max="105" width="25.84375" customWidth="1"/>
    <col min="106" max="106" width="9.69140625" customWidth="1"/>
    <col min="107" max="111" width="11.3046875" customWidth="1"/>
  </cols>
  <sheetData>
    <row r="1" spans="1:112" ht="16.5" customHeight="1"/>
    <row r="2" spans="1:112" ht="15" thickBot="1">
      <c r="CH2" t="s">
        <v>2136</v>
      </c>
      <c r="CI2">
        <f>wRMS</f>
        <v>1</v>
      </c>
      <c r="CJ2" t="s">
        <v>2139</v>
      </c>
      <c r="CR2" s="910" t="s">
        <v>1296</v>
      </c>
    </row>
    <row r="3" spans="1:112" ht="31.5" customHeight="1" thickTop="1" thickBot="1">
      <c r="E3" s="636" t="s">
        <v>2010</v>
      </c>
      <c r="O3" s="1773" t="s">
        <v>2019</v>
      </c>
      <c r="Q3" s="1773" t="s">
        <v>2017</v>
      </c>
      <c r="S3" s="1773" t="s">
        <v>2018</v>
      </c>
      <c r="U3" s="1769" t="s">
        <v>2023</v>
      </c>
      <c r="W3" s="1773" t="s">
        <v>2020</v>
      </c>
      <c r="Y3" s="1769" t="s">
        <v>2041</v>
      </c>
      <c r="AA3" s="1773" t="s">
        <v>2035</v>
      </c>
      <c r="AC3" s="1773" t="s">
        <v>2104</v>
      </c>
      <c r="AE3" s="1773" t="s">
        <v>2036</v>
      </c>
      <c r="AG3" s="1773" t="s">
        <v>2036</v>
      </c>
      <c r="AI3" s="1773" t="s">
        <v>2030</v>
      </c>
      <c r="AK3" s="640" t="s">
        <v>2011</v>
      </c>
      <c r="AM3" s="1773" t="s">
        <v>2012</v>
      </c>
      <c r="AO3" s="1790" t="s">
        <v>2042</v>
      </c>
      <c r="CE3" s="524"/>
      <c r="CF3" s="875" t="s">
        <v>2011</v>
      </c>
      <c r="CH3" s="875" t="s">
        <v>2012</v>
      </c>
      <c r="CL3" s="640" t="s">
        <v>2033</v>
      </c>
      <c r="CO3" s="23"/>
      <c r="CP3" s="2236" t="s">
        <v>2046</v>
      </c>
      <c r="CV3" s="128"/>
    </row>
    <row r="4" spans="1:112" ht="30" thickTop="1" thickBot="1">
      <c r="E4" s="635" t="s">
        <v>1008</v>
      </c>
      <c r="G4" s="108" t="s">
        <v>2057</v>
      </c>
      <c r="I4" s="875" t="s">
        <v>2056</v>
      </c>
      <c r="K4" s="872" t="s">
        <v>2100</v>
      </c>
      <c r="O4" s="1774" t="s">
        <v>2027</v>
      </c>
      <c r="Q4" s="1774" t="s">
        <v>2015</v>
      </c>
      <c r="S4" s="1774" t="s">
        <v>2021</v>
      </c>
      <c r="U4" s="2247" t="s">
        <v>2022</v>
      </c>
      <c r="W4" s="1774" t="s">
        <v>2016</v>
      </c>
      <c r="Y4" s="1770" t="s">
        <v>2013</v>
      </c>
      <c r="AA4" s="1774" t="s">
        <v>2026</v>
      </c>
      <c r="AC4" s="1774" t="s">
        <v>2122</v>
      </c>
      <c r="AE4" s="1774" t="s">
        <v>2034</v>
      </c>
      <c r="AG4" s="1774" t="s">
        <v>2037</v>
      </c>
      <c r="AI4" s="1774" t="s">
        <v>2127</v>
      </c>
      <c r="AK4" s="1789" t="s">
        <v>2040</v>
      </c>
      <c r="AM4" s="1774" t="s">
        <v>2029</v>
      </c>
      <c r="AO4" s="734" t="s">
        <v>2031</v>
      </c>
      <c r="CE4" s="524"/>
      <c r="CF4" s="876" t="s">
        <v>1272</v>
      </c>
      <c r="CH4" s="876" t="s">
        <v>1273</v>
      </c>
      <c r="CL4" s="639" t="s">
        <v>2044</v>
      </c>
      <c r="CP4" s="2237"/>
    </row>
    <row r="5" spans="1:112" ht="31.5" customHeight="1" thickTop="1" thickBot="1">
      <c r="B5" s="637" t="s">
        <v>1009</v>
      </c>
      <c r="C5" s="638" t="s">
        <v>2009</v>
      </c>
      <c r="E5" s="108" t="s">
        <v>196</v>
      </c>
      <c r="G5" s="1665" t="s">
        <v>197</v>
      </c>
      <c r="I5" s="876" t="s">
        <v>168</v>
      </c>
      <c r="K5" s="178" t="s">
        <v>1270</v>
      </c>
      <c r="M5" s="788" t="s">
        <v>2151</v>
      </c>
      <c r="O5" s="1043"/>
      <c r="Q5" s="1043"/>
      <c r="S5" s="1043"/>
      <c r="U5" s="2248"/>
      <c r="W5" s="1043"/>
      <c r="Y5" s="1043"/>
      <c r="Z5" s="38"/>
      <c r="AA5" s="4" t="s">
        <v>408</v>
      </c>
      <c r="AC5" s="1877">
        <v>0</v>
      </c>
      <c r="AD5" s="38" t="s">
        <v>2099</v>
      </c>
      <c r="AE5" s="1877">
        <v>1</v>
      </c>
      <c r="AF5" s="38" t="s">
        <v>2099</v>
      </c>
      <c r="AG5" s="1874">
        <v>1</v>
      </c>
      <c r="AI5" s="1877">
        <v>0</v>
      </c>
      <c r="AK5" s="108" t="s">
        <v>1011</v>
      </c>
      <c r="AM5" s="1043"/>
      <c r="AO5" s="4" t="s">
        <v>2043</v>
      </c>
      <c r="CC5" s="1898"/>
      <c r="CE5" s="524"/>
      <c r="CF5" s="108" t="str">
        <f ca="1">IF(Adversarial,  OFFSET(G5_Concept_1!$E$23,MATCH(Work!$AW$8,G5_Concept_1!$C$23:$C$27,0)-1,MATCH(Work!$BA$8,G5_Concept_1!$E$21:$I$21,0)-1),    OFFSET(G5_Concept_1!$E$23,MATCH(Work!$AY$8,G5_Concept_1!$C$23:$C$27,0)-1,MATCH(Work!$BA$8,G5_Concept_1!$E$21:$I$21,0)-1) )</f>
        <v>Moderate</v>
      </c>
      <c r="CH5" s="104">
        <f ca="1">IF(Adversarial,  OFFSET(G5_Concept_1!E$35,MATCH(Work!$AW8,G5_Concept_1!$C$35:$C$39,0)-1,MATCH(Work!$BA8,G5_Concept_1!$E33:$I33,0)-1),    OFFSET(G5_Concept_1!$E$35,MATCH(Work!$AY8,G5_Concept_1!$C35:$C39,0)-1,MATCH(Work!$BA8,G5_Concept_1!$E33:$I33,0)-1) )</f>
        <v>51</v>
      </c>
      <c r="CL5" s="108" t="s">
        <v>1011</v>
      </c>
      <c r="CO5" s="23"/>
      <c r="CP5" s="1801" t="s">
        <v>2054</v>
      </c>
      <c r="CY5" s="1861"/>
      <c r="CZ5" s="128"/>
      <c r="DA5" s="128"/>
      <c r="DB5" s="128"/>
      <c r="DC5" s="128"/>
      <c r="DD5" s="128"/>
      <c r="DE5" s="128"/>
      <c r="DF5" s="128"/>
      <c r="DG5" s="128"/>
      <c r="DH5" s="128"/>
    </row>
    <row r="6" spans="1:112" ht="16.75" thickTop="1" thickBot="1">
      <c r="A6" s="858"/>
      <c r="B6" s="81">
        <f>Work!B8</f>
        <v>3</v>
      </c>
      <c r="C6" s="82" t="s">
        <v>154</v>
      </c>
      <c r="D6" s="858"/>
      <c r="E6" s="886">
        <f ca="1">NOW()</f>
        <v>44772.65135162037</v>
      </c>
      <c r="F6" s="874"/>
      <c r="G6" s="76" t="s">
        <v>211</v>
      </c>
      <c r="H6" s="874"/>
      <c r="I6" s="90" t="s">
        <v>1</v>
      </c>
      <c r="J6" s="874"/>
      <c r="K6" s="1532" t="s">
        <v>1685</v>
      </c>
      <c r="L6" s="874"/>
      <c r="M6" s="787" t="s">
        <v>1122</v>
      </c>
      <c r="N6" s="874"/>
      <c r="O6" s="1771">
        <f>IF(InScope, IF(Adversarial, IF(Work!O8&lt;&gt;"N/A", 100, 0), "N/A"),"Out of Scope")</f>
        <v>100</v>
      </c>
      <c r="P6" s="874"/>
      <c r="Q6" s="1771">
        <f>IF(InScope, IF(Adversarial, IF(Work!R8&lt;&gt;"N/A", 100, 0), "N/A"),"Out of Scope")</f>
        <v>100</v>
      </c>
      <c r="R6" s="874"/>
      <c r="S6" s="1771">
        <f>IF(InScope, IF(Adversarial, IF(Work!U8&lt;&gt;"N/A", 100, 0), "N/A"),"Out of Scope")</f>
        <v>100</v>
      </c>
      <c r="T6" s="874"/>
      <c r="U6" s="169">
        <f>D_Overall</f>
        <v>51.9</v>
      </c>
      <c r="V6" s="874"/>
      <c r="W6" s="1771">
        <f>IF(InScope, 100, 0)</f>
        <v>100</v>
      </c>
      <c r="X6" s="874"/>
      <c r="Y6" s="1772">
        <f>VLOOKUP(Work!$AF$8,'E4'!$C$16:$E$22,2,FALSE)</f>
        <v>88</v>
      </c>
      <c r="Z6" s="129"/>
      <c r="AA6" s="1878">
        <v>100</v>
      </c>
      <c r="AB6" s="1896"/>
      <c r="AC6" s="1878">
        <f>VLOOKUP(Work!$AK$8,'F2'!$C$17:$F$23,4,FALSE)</f>
        <v>51</v>
      </c>
      <c r="AD6" s="129"/>
      <c r="AE6" s="1878">
        <v>100</v>
      </c>
      <c r="AF6" s="129"/>
      <c r="AG6" s="1875">
        <v>100</v>
      </c>
      <c r="AH6" s="129"/>
      <c r="AI6" s="1878">
        <f>VLOOKUP(Work!$AP$8,'F5'!$C$30:$F$36,4,FALSE)</f>
        <v>51</v>
      </c>
      <c r="AJ6" s="1883"/>
      <c r="AK6" s="1871">
        <f>f_null*ROUND(IF(wRMS, wRMS_F, wAVG_F),1)</f>
        <v>51</v>
      </c>
      <c r="AL6" s="1883"/>
      <c r="AM6" s="1878">
        <f>f_null*100</f>
        <v>100</v>
      </c>
      <c r="AN6" s="1883"/>
      <c r="AO6" s="169">
        <f>IF(Adversarial, Work!$AX$8, Work!$AZ$8)</f>
        <v>13</v>
      </c>
      <c r="AP6" s="1883"/>
      <c r="AQ6" s="1883"/>
      <c r="AR6" s="1883"/>
      <c r="AS6" s="1883"/>
      <c r="AT6" s="1883"/>
      <c r="AU6" s="1883"/>
      <c r="AV6" s="1883"/>
      <c r="AW6" s="1883"/>
      <c r="AX6" s="1883"/>
      <c r="AY6" s="1883"/>
      <c r="AZ6" s="1883"/>
      <c r="BA6" s="1883"/>
      <c r="BB6" s="1883"/>
      <c r="BC6" s="1883"/>
      <c r="BD6" s="1883"/>
      <c r="BE6" s="1883"/>
      <c r="BF6" s="1883"/>
      <c r="BG6" s="1883"/>
      <c r="BH6" s="1883"/>
      <c r="BI6" s="1883"/>
      <c r="BJ6" s="1883"/>
      <c r="BK6" s="1883"/>
      <c r="BL6" s="1883"/>
      <c r="BM6" s="1883"/>
      <c r="BN6" s="1883"/>
      <c r="BO6" s="1883"/>
      <c r="BP6" s="1883"/>
      <c r="BQ6" s="1883"/>
      <c r="BR6" s="1883"/>
      <c r="BS6" s="1883"/>
      <c r="BT6" s="1883"/>
      <c r="BU6" s="1883"/>
      <c r="BV6" s="1883"/>
      <c r="BW6" s="1883"/>
      <c r="BX6" s="1883"/>
      <c r="BY6" s="1883"/>
      <c r="BZ6" s="1883"/>
      <c r="CA6" s="1883"/>
      <c r="CB6" s="1883"/>
      <c r="CE6" s="874"/>
      <c r="CF6" s="109"/>
      <c r="CG6" s="858"/>
      <c r="CH6" s="911"/>
      <c r="CI6" s="858"/>
      <c r="CK6" s="858"/>
      <c r="CL6" s="76">
        <f>ROUND(IF(wRMS, wRMS_F, wAVG_F),1)</f>
        <v>51</v>
      </c>
      <c r="CM6" s="858"/>
      <c r="CO6" s="129"/>
      <c r="CP6" s="169">
        <f>Likelihood_c</f>
        <v>57.5</v>
      </c>
      <c r="CQ6" s="129"/>
      <c r="CS6" s="129"/>
      <c r="CT6" s="129"/>
      <c r="CU6" s="129"/>
    </row>
    <row r="7" spans="1:112" ht="16.75" thickTop="1" thickBot="1">
      <c r="B7" s="83">
        <f>Settings!$B$6+1</f>
        <v>4</v>
      </c>
      <c r="C7" s="84" t="s">
        <v>155</v>
      </c>
      <c r="E7" s="887"/>
      <c r="F7" s="1895"/>
      <c r="G7" s="13" t="s">
        <v>1756</v>
      </c>
      <c r="H7" s="1895"/>
      <c r="I7" s="14" t="s">
        <v>169</v>
      </c>
      <c r="J7" s="1895"/>
      <c r="K7" s="1533" t="s">
        <v>1684</v>
      </c>
      <c r="L7" s="1895"/>
      <c r="M7" s="103" t="s">
        <v>1123</v>
      </c>
      <c r="N7" s="1895"/>
      <c r="O7" s="1784">
        <f>IF(InScope, IF(Adversarial, IF(Work!O8&lt;&gt;"N/A", 50, 0), "N/A"),"Out of Scope")</f>
        <v>50</v>
      </c>
      <c r="P7" s="1895"/>
      <c r="Q7" s="1784">
        <f>IF(InScope, IF(Adversarial, IF(Work!R8&lt;&gt;"N/A", 50, 0), "N/A"),"Out of Scope")</f>
        <v>50</v>
      </c>
      <c r="R7" s="1895"/>
      <c r="S7" s="1784">
        <f>IF(InScope, IF(Adversarial, IF(Work!U8&lt;&gt;"N/A", 50, 0), "N/A"),"Out of Scope")</f>
        <v>50</v>
      </c>
      <c r="T7" s="1895"/>
      <c r="U7" s="169">
        <f>D_Overall</f>
        <v>51.9</v>
      </c>
      <c r="V7" s="1895"/>
      <c r="W7" s="1821">
        <f>IF(InScope, 50, 0)</f>
        <v>50</v>
      </c>
      <c r="X7" s="1895"/>
      <c r="Y7" s="1828"/>
      <c r="AA7" s="1875">
        <v>50</v>
      </c>
      <c r="AB7" s="1895"/>
      <c r="AC7" s="1882"/>
      <c r="AE7" s="1875">
        <v>50</v>
      </c>
      <c r="AG7" s="1875">
        <v>50</v>
      </c>
      <c r="AH7" s="1977"/>
      <c r="AI7" s="1882"/>
      <c r="AJ7" s="23"/>
      <c r="AK7" s="1871">
        <f>f_null*ROUND(IF(wRMS, wRMS_F, wAVG_F),1)</f>
        <v>51</v>
      </c>
      <c r="AL7" s="23"/>
      <c r="AM7" s="1875">
        <f>f_null*50</f>
        <v>50</v>
      </c>
      <c r="AN7" s="23"/>
      <c r="AO7" s="169">
        <f>IF(Adversarial, Work!$AX$8, Work!$AZ$8)</f>
        <v>13</v>
      </c>
      <c r="AP7" s="23"/>
      <c r="AQ7" s="23"/>
      <c r="AR7" s="23"/>
      <c r="AS7" s="23"/>
      <c r="AT7" s="23"/>
      <c r="AU7" s="23"/>
      <c r="AV7" s="23"/>
      <c r="AW7" s="23"/>
      <c r="AX7" s="23"/>
      <c r="AY7" s="23"/>
      <c r="AZ7" s="23"/>
      <c r="BA7" s="23"/>
      <c r="BB7" s="23"/>
      <c r="BC7" s="23"/>
      <c r="BD7" s="23"/>
      <c r="BE7" s="23"/>
      <c r="BF7" s="23"/>
      <c r="BG7" s="23"/>
      <c r="BH7" s="23"/>
      <c r="BI7" s="23"/>
      <c r="BJ7" s="23"/>
      <c r="BK7" s="23"/>
      <c r="BL7" s="23"/>
      <c r="BM7" s="23"/>
      <c r="BN7" s="23"/>
      <c r="BO7" s="23"/>
      <c r="BP7" s="23"/>
      <c r="BQ7" s="23"/>
      <c r="BR7" s="23"/>
      <c r="BS7" s="23"/>
      <c r="BT7" s="23"/>
      <c r="BU7" s="23"/>
      <c r="BV7" s="23"/>
      <c r="BW7" s="23"/>
      <c r="BX7" s="23"/>
      <c r="BY7" s="23"/>
      <c r="BZ7" s="23"/>
      <c r="CA7" s="23"/>
      <c r="CB7" s="23"/>
      <c r="CC7" s="1899"/>
      <c r="CL7" s="76">
        <f>ROUND(IF(wRMS, wRMS_F, wAVG_F),1)</f>
        <v>51</v>
      </c>
      <c r="CP7" s="4">
        <f>Likelihood_c</f>
        <v>57.5</v>
      </c>
    </row>
    <row r="8" spans="1:112" ht="15.45" thickTop="1" thickBot="1">
      <c r="B8" s="85">
        <f>IF((Settings!$B$6-1)&lt;1,1,(Settings!$B$6-1))</f>
        <v>2</v>
      </c>
      <c r="C8" s="86" t="s">
        <v>156</v>
      </c>
      <c r="G8" s="13"/>
      <c r="O8" s="1784">
        <f>IF(InScope, IF(Adversarial, IF(Work!O8&lt;&gt;"N/A", 0, 0), "N/A"),"Out of Scope")</f>
        <v>0</v>
      </c>
      <c r="Q8" s="1784">
        <f>IF(InScope, IF(Adversarial, IF(Work!R8&lt;&gt;"N/A", 0, 0), "N/A"),"Out of Scope")</f>
        <v>0</v>
      </c>
      <c r="S8" s="1784">
        <f>IF(InScope, IF(Adversarial, IF(Work!U8&lt;&gt;"N/A", 0, 0), "N/A"),"Out of Scope")</f>
        <v>0</v>
      </c>
      <c r="U8" s="138">
        <f>ROUND(IF(InScope,  IFERROR(   IF(Adversarial, IF(Algorithm="Weighted Avg",D345_wAvg,D345_wRMS),    W_7 ), 0  ), 0 ),1)</f>
        <v>51.9</v>
      </c>
      <c r="W8" s="1821">
        <f>IF(InScope, 0, 0)</f>
        <v>0</v>
      </c>
      <c r="Z8" s="38"/>
      <c r="AA8" s="1821">
        <v>0</v>
      </c>
      <c r="AE8" s="1875">
        <v>1</v>
      </c>
      <c r="AG8" s="1875">
        <v>1</v>
      </c>
      <c r="AH8" s="1977"/>
      <c r="AI8" s="1977"/>
      <c r="AM8" s="1821">
        <v>0</v>
      </c>
      <c r="CD8" t="s">
        <v>2121</v>
      </c>
      <c r="CJ8" s="1873" t="s">
        <v>2135</v>
      </c>
      <c r="CK8" s="1873"/>
    </row>
    <row r="9" spans="1:112" ht="15" customHeight="1" thickTop="1" thickBot="1">
      <c r="G9" s="13"/>
      <c r="O9" s="14"/>
      <c r="Q9" s="14"/>
      <c r="S9" s="14"/>
      <c r="W9" s="14"/>
      <c r="AA9" s="1879"/>
      <c r="AE9" s="1879"/>
      <c r="AG9" s="1876"/>
      <c r="AH9" s="1978"/>
      <c r="AI9" s="1978"/>
      <c r="AM9" s="1876"/>
      <c r="CD9" s="1786"/>
      <c r="CH9" t="s">
        <v>2038</v>
      </c>
      <c r="CI9">
        <f>wRMS_F</f>
        <v>51</v>
      </c>
      <c r="CJ9" s="2249" t="s">
        <v>2138</v>
      </c>
      <c r="CK9" s="2249"/>
      <c r="CL9" s="2249"/>
      <c r="CM9" s="2249"/>
      <c r="CN9" s="2249"/>
      <c r="CO9" s="2249"/>
    </row>
    <row r="10" spans="1:112" ht="15" customHeight="1" thickTop="1" thickBot="1">
      <c r="G10" s="13"/>
      <c r="AK10" s="921"/>
      <c r="CF10" s="1976"/>
      <c r="CH10" t="s">
        <v>2039</v>
      </c>
      <c r="CI10">
        <f>wAVG_F</f>
        <v>51</v>
      </c>
      <c r="CJ10" s="2249" t="s">
        <v>2137</v>
      </c>
      <c r="CK10" s="2249"/>
      <c r="CL10" s="2249"/>
      <c r="CM10" s="2249"/>
      <c r="CN10" s="2249"/>
      <c r="CO10" s="2249"/>
    </row>
    <row r="11" spans="1:112" ht="15" customHeight="1" thickTop="1">
      <c r="G11" s="13"/>
      <c r="AK11" s="921"/>
      <c r="CF11" s="1976"/>
      <c r="CL11" s="1773" t="s">
        <v>2018</v>
      </c>
      <c r="CN11" s="1773" t="s">
        <v>2045</v>
      </c>
    </row>
    <row r="12" spans="1:112" ht="15" customHeight="1" thickBot="1">
      <c r="G12" s="13"/>
      <c r="AK12" s="921"/>
      <c r="CF12" s="1976"/>
      <c r="CL12" s="1872" t="s">
        <v>2029</v>
      </c>
      <c r="CN12" s="1774" t="s">
        <v>2032</v>
      </c>
    </row>
    <row r="13" spans="1:112" ht="16.5" customHeight="1" thickTop="1" thickBot="1">
      <c r="G13" s="13"/>
      <c r="Q13" s="1931"/>
      <c r="AB13" s="1931"/>
      <c r="AC13" s="1931"/>
      <c r="AD13" s="1931"/>
      <c r="AE13" s="1931"/>
      <c r="CF13" s="1976"/>
      <c r="CG13" t="s">
        <v>2119</v>
      </c>
      <c r="CH13" t="s">
        <v>2134</v>
      </c>
      <c r="CI13">
        <f>f2_weight</f>
        <v>0</v>
      </c>
      <c r="CL13" s="1880"/>
      <c r="CM13" s="620" t="s">
        <v>2117</v>
      </c>
      <c r="CN13" s="1880">
        <v>100</v>
      </c>
    </row>
    <row r="14" spans="1:112" ht="15" customHeight="1" thickTop="1">
      <c r="G14" s="13"/>
      <c r="Q14" s="1931"/>
      <c r="AB14" s="1931"/>
      <c r="AC14" s="1931"/>
      <c r="AD14" s="1931"/>
      <c r="AE14" s="1931"/>
      <c r="CF14" s="1976"/>
      <c r="CG14" t="s">
        <v>2120</v>
      </c>
      <c r="CH14" t="s">
        <v>2128</v>
      </c>
      <c r="CI14">
        <f>f5_weight</f>
        <v>0</v>
      </c>
      <c r="CL14" s="1878">
        <v>100</v>
      </c>
      <c r="CN14" s="1878">
        <v>100</v>
      </c>
    </row>
    <row r="15" spans="1:112" ht="15" customHeight="1" thickBot="1">
      <c r="G15" s="14"/>
      <c r="Q15" s="1931"/>
      <c r="AB15" s="1931"/>
      <c r="AC15" s="1931"/>
      <c r="AD15" s="1931"/>
      <c r="AE15" s="1931"/>
      <c r="AH15">
        <f>f_null*ROUND(IF(wRMS, wRMS_F, wAVG_F),1)</f>
        <v>51</v>
      </c>
      <c r="CF15" s="1976"/>
      <c r="CH15" t="s">
        <v>2141</v>
      </c>
      <c r="CI15">
        <f>f_nwt</f>
        <v>1</v>
      </c>
      <c r="CL15" s="1875">
        <v>50</v>
      </c>
      <c r="CN15" s="1875">
        <v>50</v>
      </c>
    </row>
    <row r="16" spans="1:112" ht="15" customHeight="1" thickTop="1">
      <c r="Q16" s="1931"/>
      <c r="AB16" s="1931"/>
      <c r="AC16" s="1931"/>
      <c r="AD16" s="1931"/>
      <c r="AE16" s="1931"/>
      <c r="AG16" t="s">
        <v>2209</v>
      </c>
      <c r="AH16" t="s">
        <v>2208</v>
      </c>
      <c r="CL16" s="1821">
        <v>0</v>
      </c>
      <c r="CN16" s="1821">
        <v>1</v>
      </c>
    </row>
    <row r="17" spans="17:92" ht="15" customHeight="1" thickBot="1">
      <c r="Q17" s="1931"/>
      <c r="AB17" s="1931"/>
      <c r="AC17" s="1931"/>
      <c r="AD17" s="1931"/>
      <c r="AE17" s="1931"/>
      <c r="CL17" s="1876"/>
      <c r="CN17" s="1876"/>
    </row>
    <row r="18" spans="17:92" ht="14.25" customHeight="1" thickTop="1">
      <c r="Q18" s="1931"/>
      <c r="AB18" s="1931"/>
      <c r="AC18" s="1931"/>
      <c r="AD18" s="1931"/>
      <c r="AE18" s="1931"/>
      <c r="AG18" t="s">
        <v>2210</v>
      </c>
      <c r="AH18" s="23">
        <f>IF(OR(f2_na,f5_na,f2_help,f5_help,f2_weight, f5_weight), 0, 1)</f>
        <v>1</v>
      </c>
      <c r="AI18" t="s">
        <v>2211</v>
      </c>
    </row>
    <row r="19" spans="17:92" ht="20.149999999999999" customHeight="1"/>
    <row r="20" spans="17:92" ht="15" customHeight="1">
      <c r="AH20">
        <f>SQRT( (Work!$AM$8*f2_RatNum*f2_RatNum + Work!$AR$8*f5_RatNum*f5_RatNum)/(Work!$AM$8 + Work!$AR$8) )</f>
        <v>51</v>
      </c>
      <c r="AI20" t="s">
        <v>2138</v>
      </c>
    </row>
    <row r="21" spans="17:92" ht="15" customHeight="1"/>
    <row r="22" spans="17:92">
      <c r="AH22">
        <f>(Work!$AM$8*f2_RatNum + Work!$AR$8*f5_RatNum)/(Work!$AM$8 + Work!$AR$8 )</f>
        <v>51</v>
      </c>
      <c r="AI22" t="s">
        <v>2137</v>
      </c>
    </row>
    <row r="24" spans="17:92">
      <c r="AG24" t="s">
        <v>2212</v>
      </c>
      <c r="AH24">
        <f>f_nnull</f>
        <v>0</v>
      </c>
    </row>
    <row r="26" spans="17:92" ht="15" thickBot="1"/>
    <row r="27" spans="17:92" ht="15.45" thickTop="1" thickBot="1">
      <c r="CF27" s="1773" t="s">
        <v>2030</v>
      </c>
    </row>
    <row r="28" spans="17:92" ht="36" customHeight="1" thickTop="1" thickBot="1">
      <c r="CF28" s="1774" t="s">
        <v>2127</v>
      </c>
      <c r="CJ28" s="81">
        <f>wRMS_F</f>
        <v>51</v>
      </c>
      <c r="CK28" s="133" t="s">
        <v>2038</v>
      </c>
      <c r="CL28" s="82">
        <f>SQRT( (Work!$AM$8*Work!$AL$8*Work!$AL$8 + Work!$AR$8*Work!$AQ$8*Work!$AQ$8)/(Work!$AM$8 + Work!$AR$8) )</f>
        <v>51</v>
      </c>
    </row>
    <row r="29" spans="17:92" ht="36" customHeight="1" thickTop="1">
      <c r="CE29" s="38" t="s">
        <v>2099</v>
      </c>
      <c r="CF29" s="1874">
        <v>0</v>
      </c>
      <c r="CJ29" s="83">
        <f>wAVG_F</f>
        <v>51</v>
      </c>
      <c r="CK29" s="207" t="s">
        <v>2039</v>
      </c>
      <c r="CL29" s="84">
        <f>(Work!$AM$8*Work!$AL$8 + Work!$AR$8*Work!$AQ$8)/(Work!$AM$8 + Work!$AR$8)</f>
        <v>51</v>
      </c>
    </row>
    <row r="30" spans="17:92" ht="36" customHeight="1" thickBot="1">
      <c r="CF30" s="1875">
        <f>VLOOKUP(Work!$AP$8,'F5'!$C$30:$F$36,4,FALSE)</f>
        <v>51</v>
      </c>
      <c r="CJ30" s="85"/>
      <c r="CK30" s="140" t="s">
        <v>2028</v>
      </c>
      <c r="CL30" s="86">
        <f>ROUND(IF(wRMS, wRMS_F, wAVG_F),1)</f>
        <v>51</v>
      </c>
    </row>
    <row r="31" spans="17:92" ht="15.45" thickTop="1" thickBot="1">
      <c r="CF31" s="1881"/>
    </row>
    <row r="32" spans="17:92" ht="15.45" thickTop="1" thickBot="1">
      <c r="CF32" s="1869"/>
    </row>
    <row r="33" spans="84:105" ht="15.45" thickTop="1" thickBot="1">
      <c r="CF33" s="1829"/>
      <c r="DA33" s="1862" t="s">
        <v>2110</v>
      </c>
    </row>
    <row r="34" spans="84:105" ht="15.45" thickTop="1" thickBot="1">
      <c r="DA34" s="1862" t="s">
        <v>1296</v>
      </c>
    </row>
    <row r="35" spans="84:105" ht="15.45" thickTop="1" thickBot="1">
      <c r="DA35" s="1863" t="s">
        <v>2109</v>
      </c>
    </row>
    <row r="36" spans="84:105" ht="15.45" thickTop="1" thickBot="1">
      <c r="DA36" s="1863" t="s">
        <v>2108</v>
      </c>
    </row>
    <row r="37" spans="84:105" ht="15" thickTop="1"/>
    <row r="41" spans="84:105" ht="36" customHeight="1"/>
    <row r="44" spans="84:105">
      <c r="CR44" s="1864"/>
      <c r="CS44" s="1864"/>
      <c r="CT44" s="1864"/>
      <c r="CU44" s="1864"/>
      <c r="CV44" s="1864"/>
      <c r="CW44" s="1864"/>
      <c r="CX44" s="1864"/>
      <c r="CY44" s="1864"/>
      <c r="CZ44" s="1864"/>
    </row>
    <row r="50" spans="24:37" ht="15" thickBot="1"/>
    <row r="51" spans="24:37" ht="15.45" thickTop="1" thickBot="1">
      <c r="Y51" s="263" t="s">
        <v>2118</v>
      </c>
      <c r="Z51" s="1822">
        <f>InScope</f>
        <v>1</v>
      </c>
      <c r="AA51" s="1823">
        <f>IF((Work!$N$8="Yes"),1,0)</f>
        <v>1</v>
      </c>
      <c r="AB51" s="11"/>
      <c r="AJ51" s="38"/>
    </row>
    <row r="52" spans="24:37" ht="15" thickTop="1">
      <c r="Y52" s="581" t="s">
        <v>2047</v>
      </c>
      <c r="Z52" s="1791">
        <f>Work!$Z$8</f>
        <v>51.9</v>
      </c>
      <c r="AA52" s="1793" t="s">
        <v>2023</v>
      </c>
      <c r="AB52" s="1793">
        <f>Work!$Z$8</f>
        <v>51.9</v>
      </c>
      <c r="AJ52" s="38"/>
    </row>
    <row r="53" spans="24:37">
      <c r="Y53" s="1847" t="s">
        <v>2048</v>
      </c>
      <c r="Z53" s="1795">
        <f>Work!$AA$8</f>
        <v>100</v>
      </c>
      <c r="AA53" s="1796" t="s">
        <v>2020</v>
      </c>
      <c r="AB53" s="1796">
        <f>Work!$AA$8</f>
        <v>100</v>
      </c>
      <c r="AJ53" s="38"/>
    </row>
    <row r="54" spans="24:37">
      <c r="Y54" s="1848" t="s">
        <v>2025</v>
      </c>
      <c r="Z54" s="1792">
        <f>Work!$AG$8</f>
        <v>88</v>
      </c>
      <c r="AA54" s="117" t="s">
        <v>2041</v>
      </c>
      <c r="AB54" s="117">
        <f>Work!$AG$8</f>
        <v>88</v>
      </c>
      <c r="AJ54" s="38"/>
    </row>
    <row r="55" spans="24:37">
      <c r="Y55" s="1847" t="s">
        <v>2026</v>
      </c>
      <c r="Z55" s="1797">
        <f>Work!$AH$8</f>
        <v>100</v>
      </c>
      <c r="AA55" s="1798" t="s">
        <v>2035</v>
      </c>
      <c r="AB55" s="1798">
        <f>Work!$AH$8</f>
        <v>100</v>
      </c>
      <c r="AJ55" s="38"/>
    </row>
    <row r="56" spans="24:37">
      <c r="Y56" s="1849" t="s">
        <v>2028</v>
      </c>
      <c r="Z56" s="1799">
        <f>Work!$AS$8</f>
        <v>51</v>
      </c>
      <c r="AA56" s="1800" t="s">
        <v>2011</v>
      </c>
      <c r="AB56" s="1800">
        <f>Work!$AS$8</f>
        <v>51</v>
      </c>
      <c r="AJ56" s="38"/>
    </row>
    <row r="57" spans="24:37">
      <c r="Y57" s="1847" t="s">
        <v>2029</v>
      </c>
      <c r="Z57" s="1797">
        <f>Work!$AT$8</f>
        <v>100</v>
      </c>
      <c r="AA57" s="1798" t="s">
        <v>2012</v>
      </c>
      <c r="AB57" s="1798">
        <f>Work!$AT$8</f>
        <v>100</v>
      </c>
      <c r="AJ57" s="38"/>
    </row>
    <row r="58" spans="24:37">
      <c r="Y58" s="1848" t="s">
        <v>2049</v>
      </c>
      <c r="Z58" s="1792">
        <f>Work!$BC$8</f>
        <v>13</v>
      </c>
      <c r="AA58" s="117" t="s">
        <v>2051</v>
      </c>
      <c r="AB58" s="117">
        <f>Work!$BC$8</f>
        <v>13</v>
      </c>
      <c r="AJ58" s="38"/>
    </row>
    <row r="59" spans="24:37" ht="15" thickBot="1">
      <c r="Y59" s="1850" t="s">
        <v>2050</v>
      </c>
      <c r="Z59" s="1794">
        <f>Work!$BD$8</f>
        <v>100</v>
      </c>
      <c r="AA59" s="1839" t="s">
        <v>2045</v>
      </c>
      <c r="AB59" s="1839">
        <f>Work!$BD$8</f>
        <v>100</v>
      </c>
      <c r="AJ59" s="38"/>
    </row>
    <row r="60" spans="24:37" ht="15" thickTop="1">
      <c r="X60" s="81">
        <f>wRMS_c</f>
        <v>57.462183216442448</v>
      </c>
      <c r="Y60" s="1851" t="s">
        <v>2052</v>
      </c>
      <c r="Z60" s="134">
        <f>SQRT( (InScope*Work!$AA$8*Work!$Z$8*Work!$Z$8 + e_nna*Work!$AH$8*Work!$AG$8*Work!$AG$8  + Work!$AT$8*Work!$AS$8*Work!$AS$8 + g23_wt*Work!$BC$8*Work!$BC$8 )/(InScope*Work!$AA$8 + Work!$AH$8 + Work!$AT$8 + g23_wt) )</f>
        <v>57.462183216442448</v>
      </c>
      <c r="AA60" s="2238" t="s">
        <v>2116</v>
      </c>
      <c r="AB60" s="2239"/>
      <c r="AC60" s="2239"/>
      <c r="AD60" s="2239"/>
      <c r="AE60" s="2239"/>
      <c r="AF60" s="2239"/>
      <c r="AG60" s="2239"/>
      <c r="AH60" s="2239"/>
      <c r="AI60" s="2239"/>
      <c r="AJ60" s="2239"/>
      <c r="AK60" s="2240"/>
    </row>
    <row r="61" spans="24:37">
      <c r="X61" s="1840">
        <f>wAVG_c</f>
        <v>50.975000000000001</v>
      </c>
      <c r="Y61" s="1852" t="s">
        <v>2053</v>
      </c>
      <c r="Z61" s="1841">
        <f>( (InScope*Work!$AA$8*Work!$Z$8 + e_nna*Work!$AH$8*Work!$AG$8  + Work!$AT$8*Work!$AS$8 + g23_wt*Work!$BC$8 )/(InScope*Work!$AA$8 + e_nna*Work!$AH$8 + Work!$AT$8 + g23_wt) )</f>
        <v>50.975000000000001</v>
      </c>
      <c r="AA61" s="2241" t="s">
        <v>2114</v>
      </c>
      <c r="AB61" s="2242"/>
      <c r="AC61" s="2242"/>
      <c r="AD61" s="2242"/>
      <c r="AE61" s="2242"/>
      <c r="AF61" s="2242"/>
      <c r="AG61" s="2242"/>
      <c r="AH61" s="2242"/>
      <c r="AI61" s="2242"/>
      <c r="AJ61" s="2242"/>
      <c r="AK61" s="2243"/>
    </row>
    <row r="62" spans="24:37" ht="15" thickBot="1">
      <c r="X62" s="85">
        <f>Likelihood_c</f>
        <v>57.5</v>
      </c>
      <c r="Y62" s="994" t="s">
        <v>2054</v>
      </c>
      <c r="Z62" s="166">
        <f>ROUND(IF(wRMS, wRMS_c, wAVG_c),1)</f>
        <v>57.5</v>
      </c>
      <c r="AA62" s="2244" t="s">
        <v>2107</v>
      </c>
      <c r="AB62" s="2245"/>
      <c r="AC62" s="2245"/>
      <c r="AD62" s="2245"/>
      <c r="AE62" s="2245"/>
      <c r="AF62" s="2245"/>
      <c r="AG62" s="2245"/>
      <c r="AH62" s="2245"/>
      <c r="AI62" s="2245"/>
      <c r="AJ62" s="2245"/>
      <c r="AK62" s="2246"/>
    </row>
    <row r="63" spans="24:37" ht="15" thickTop="1">
      <c r="AJ63" s="38"/>
    </row>
    <row r="64" spans="24:37" ht="15" thickBot="1">
      <c r="AJ64" s="38"/>
    </row>
    <row r="65" spans="24:37" ht="15.45" thickTop="1" thickBot="1">
      <c r="X65" s="2256" t="s">
        <v>1618</v>
      </c>
      <c r="Y65" s="2257"/>
      <c r="Z65" s="2258"/>
      <c r="AA65" s="1836"/>
      <c r="AB65" s="2256" t="s">
        <v>2105</v>
      </c>
      <c r="AC65" s="2257"/>
      <c r="AD65" s="2258"/>
      <c r="AF65" s="1855" t="s">
        <v>2077</v>
      </c>
      <c r="AG65" s="1845">
        <f>InScope</f>
        <v>1</v>
      </c>
      <c r="AH65" s="1979"/>
      <c r="AI65" s="1979"/>
      <c r="AJ65" s="2259" t="s">
        <v>2112</v>
      </c>
      <c r="AK65" s="2260"/>
    </row>
    <row r="66" spans="24:37" ht="15" thickTop="1">
      <c r="X66" s="1853" t="s">
        <v>2102</v>
      </c>
      <c r="Y66" s="1843" t="s">
        <v>2020</v>
      </c>
      <c r="Z66" s="1843">
        <f>Work!$AA$8</f>
        <v>100</v>
      </c>
      <c r="AA66" s="1837"/>
      <c r="AB66" s="1853" t="s">
        <v>2102</v>
      </c>
      <c r="AC66" s="1842" t="s">
        <v>2023</v>
      </c>
      <c r="AD66" s="1842">
        <f>Work!$Z$8</f>
        <v>51.9</v>
      </c>
      <c r="AF66" s="1856"/>
      <c r="AG66" s="84"/>
      <c r="AH66" s="49"/>
      <c r="AI66" s="49"/>
      <c r="AJ66" s="2261">
        <f>g23_wt</f>
        <v>100</v>
      </c>
      <c r="AK66" s="2262"/>
    </row>
    <row r="67" spans="24:37">
      <c r="X67" s="597" t="s">
        <v>2026</v>
      </c>
      <c r="Y67" s="13" t="s">
        <v>2035</v>
      </c>
      <c r="Z67" s="13">
        <f>Work!$AH$8</f>
        <v>100</v>
      </c>
      <c r="AA67" s="94"/>
      <c r="AB67" s="597" t="s">
        <v>2025</v>
      </c>
      <c r="AC67" s="13" t="s">
        <v>2041</v>
      </c>
      <c r="AD67" s="13">
        <f>Work!$AG$8</f>
        <v>88</v>
      </c>
      <c r="AF67" s="1857" t="s">
        <v>2101</v>
      </c>
      <c r="AG67" s="1846">
        <f>e_nna</f>
        <v>1</v>
      </c>
      <c r="AH67" s="1980"/>
      <c r="AI67" s="1980"/>
      <c r="AJ67" s="2261">
        <f>IF(g23_bwt, Work!$BD$8, Settings!$CN$13)</f>
        <v>100</v>
      </c>
      <c r="AK67" s="2262"/>
    </row>
    <row r="68" spans="24:37">
      <c r="X68" s="1854" t="s">
        <v>2029</v>
      </c>
      <c r="Y68" s="1844" t="s">
        <v>2012</v>
      </c>
      <c r="Z68" s="1844">
        <f>Work!$AT$8</f>
        <v>100</v>
      </c>
      <c r="AA68" s="1838"/>
      <c r="AB68" s="1854" t="s">
        <v>2028</v>
      </c>
      <c r="AC68" s="1844" t="s">
        <v>2104</v>
      </c>
      <c r="AD68" s="1844">
        <f>Work!$AL$8</f>
        <v>51</v>
      </c>
      <c r="AF68" s="1856"/>
      <c r="AG68" s="84"/>
      <c r="AH68" s="49"/>
      <c r="AI68" s="49"/>
      <c r="AJ68" s="2261" t="s">
        <v>2115</v>
      </c>
      <c r="AK68" s="2262"/>
    </row>
    <row r="69" spans="24:37" ht="15" thickBot="1">
      <c r="X69" s="1858" t="s">
        <v>2103</v>
      </c>
      <c r="Y69" s="1858" t="s">
        <v>2045</v>
      </c>
      <c r="Z69" s="1859">
        <f>Work!$BD$8</f>
        <v>100</v>
      </c>
      <c r="AA69" s="94"/>
      <c r="AB69" s="1858" t="s">
        <v>2106</v>
      </c>
      <c r="AC69" s="1859" t="s">
        <v>2051</v>
      </c>
      <c r="AD69" s="1859">
        <f>Work!$BC$8</f>
        <v>13</v>
      </c>
      <c r="AF69" s="802"/>
      <c r="AG69" s="86"/>
      <c r="AH69" s="50"/>
      <c r="AI69" s="50"/>
      <c r="AJ69" s="2263"/>
      <c r="AK69" s="2264"/>
    </row>
    <row r="70" spans="24:37" ht="15" thickTop="1">
      <c r="AJ70" s="2250" t="s">
        <v>2113</v>
      </c>
      <c r="AK70" s="2251"/>
    </row>
    <row r="71" spans="24:37">
      <c r="AJ71" s="2252">
        <f>g23_bwt</f>
        <v>0</v>
      </c>
      <c r="AK71" s="2253"/>
    </row>
    <row r="72" spans="24:37">
      <c r="AJ72" s="2252">
        <f>IF(AND(ISNUMBER(Work!$BD$8),IF(Work!$BD$8&gt;=1,1,0),IF(Work!$BD$8&lt;=100,1,0)), 1, 0)</f>
        <v>1</v>
      </c>
      <c r="AK72" s="2253"/>
    </row>
    <row r="73" spans="24:37">
      <c r="AA73" s="1864"/>
      <c r="AB73" s="1864"/>
      <c r="AC73" s="1864"/>
      <c r="AD73" s="1864"/>
      <c r="AE73" s="1864"/>
      <c r="AF73" s="1864"/>
      <c r="AG73" s="1864"/>
      <c r="AH73" s="1864"/>
      <c r="AI73" s="1864"/>
      <c r="AJ73" s="2254" t="s">
        <v>2111</v>
      </c>
      <c r="AK73" s="2255"/>
    </row>
    <row r="74" spans="24:37" ht="15" thickBot="1">
      <c r="AA74" s="1864"/>
      <c r="AB74" s="1864"/>
      <c r="AC74" s="1864"/>
      <c r="AD74" s="1864"/>
      <c r="AE74" s="1864"/>
      <c r="AF74" s="1864"/>
      <c r="AG74" s="1864"/>
      <c r="AH74" s="1864"/>
      <c r="AI74" s="1864"/>
      <c r="AJ74" s="1865"/>
      <c r="AK74" s="1866"/>
    </row>
    <row r="75" spans="24:37" ht="15" thickTop="1">
      <c r="AA75" s="1864"/>
      <c r="AB75" s="1864"/>
      <c r="AC75" s="1864"/>
      <c r="AD75" s="1864"/>
      <c r="AE75" s="1864"/>
      <c r="AF75" s="1864"/>
      <c r="AG75" s="1864"/>
      <c r="AH75" s="1864"/>
      <c r="AI75" s="1864"/>
      <c r="AJ75" s="1864"/>
      <c r="AK75" s="1864"/>
    </row>
  </sheetData>
  <mergeCells count="18">
    <mergeCell ref="AJ70:AK70"/>
    <mergeCell ref="AJ71:AK71"/>
    <mergeCell ref="AJ72:AK72"/>
    <mergeCell ref="AJ73:AK73"/>
    <mergeCell ref="X65:Z65"/>
    <mergeCell ref="AB65:AD65"/>
    <mergeCell ref="AJ65:AK65"/>
    <mergeCell ref="AJ67:AK67"/>
    <mergeCell ref="AJ68:AK68"/>
    <mergeCell ref="AJ69:AK69"/>
    <mergeCell ref="AJ66:AK66"/>
    <mergeCell ref="CP3:CP4"/>
    <mergeCell ref="AA60:AK60"/>
    <mergeCell ref="AA61:AK61"/>
    <mergeCell ref="AA62:AK62"/>
    <mergeCell ref="U4:U5"/>
    <mergeCell ref="CJ9:CO9"/>
    <mergeCell ref="CJ10:CO10"/>
  </mergeCell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codeName="Sheet1">
    <tabColor rgb="FFFFC000"/>
  </sheetPr>
  <dimension ref="A1:AO145"/>
  <sheetViews>
    <sheetView topLeftCell="A22" workbookViewId="0">
      <selection activeCell="C40" sqref="C40"/>
    </sheetView>
  </sheetViews>
  <sheetFormatPr defaultColWidth="9.15234375" defaultRowHeight="14.6"/>
  <cols>
    <col min="1" max="1" width="10.69140625" style="23" customWidth="1"/>
    <col min="2" max="2" width="32.69140625" style="23" customWidth="1"/>
    <col min="3" max="4" width="40.69140625" style="23" customWidth="1"/>
    <col min="5" max="5" width="49.3828125" style="23" customWidth="1"/>
    <col min="6" max="6" width="47.15234375" style="23" customWidth="1"/>
    <col min="7" max="7" width="40.69140625" style="23" customWidth="1"/>
    <col min="8" max="9" width="32.69140625" style="23" customWidth="1"/>
    <col min="10" max="10" width="40.69140625" style="23" customWidth="1"/>
    <col min="11" max="14" width="32.69140625" style="23" customWidth="1"/>
    <col min="15" max="15" width="10.69140625" style="23" customWidth="1"/>
    <col min="16" max="16" width="40.69140625" style="23" customWidth="1"/>
    <col min="17" max="17" width="67.15234375" style="23" customWidth="1"/>
    <col min="18" max="20" width="32.69140625" style="23" customWidth="1"/>
    <col min="21" max="16384" width="9.15234375" style="23"/>
  </cols>
  <sheetData>
    <row r="1" spans="2:41" customFormat="1"/>
    <row r="2" spans="2:41" customFormat="1">
      <c r="C2" s="38"/>
    </row>
    <row r="3" spans="2:41" customFormat="1">
      <c r="C3" s="38"/>
    </row>
    <row r="4" spans="2:41" customFormat="1"/>
    <row r="5" spans="2:41" ht="15.9">
      <c r="C5" s="426" t="s">
        <v>787</v>
      </c>
    </row>
    <row r="6" spans="2:41">
      <c r="C6" s="23" t="s">
        <v>2154</v>
      </c>
      <c r="D6" s="23" t="s">
        <v>2155</v>
      </c>
      <c r="E6" s="23" t="s">
        <v>2156</v>
      </c>
      <c r="F6" s="23" t="s">
        <v>2157</v>
      </c>
      <c r="G6" s="23" t="s">
        <v>2158</v>
      </c>
    </row>
    <row r="7" spans="2:41" ht="18.899999999999999" thickBot="1">
      <c r="C7" s="23" t="s">
        <v>2159</v>
      </c>
      <c r="D7" s="845" t="s">
        <v>0</v>
      </c>
    </row>
    <row r="8" spans="2:41" ht="15.45" thickTop="1" thickBot="1">
      <c r="B8" s="4" t="s">
        <v>42</v>
      </c>
      <c r="C8" s="523" t="s">
        <v>1</v>
      </c>
      <c r="D8" s="523" t="s">
        <v>41</v>
      </c>
      <c r="E8" s="523" t="s">
        <v>2</v>
      </c>
      <c r="F8" s="523" t="s">
        <v>3</v>
      </c>
      <c r="G8" s="523" t="s">
        <v>186</v>
      </c>
    </row>
    <row r="9" spans="2:41" ht="15" thickTop="1">
      <c r="B9" s="23" t="s">
        <v>204</v>
      </c>
      <c r="C9" s="23" t="s">
        <v>785</v>
      </c>
      <c r="D9" s="23" t="s">
        <v>205</v>
      </c>
      <c r="E9" s="23" t="s">
        <v>206</v>
      </c>
      <c r="F9" s="23" t="s">
        <v>120</v>
      </c>
      <c r="G9" s="23" t="s">
        <v>207</v>
      </c>
    </row>
    <row r="10" spans="2:41" ht="15" thickBot="1">
      <c r="B10" s="116" t="s">
        <v>1725</v>
      </c>
      <c r="C10"/>
      <c r="D10"/>
      <c r="E10"/>
      <c r="F10"/>
      <c r="G10"/>
      <c r="H10"/>
      <c r="I10"/>
      <c r="J10"/>
      <c r="K10"/>
      <c r="L10"/>
      <c r="M10"/>
      <c r="N10"/>
      <c r="O10"/>
      <c r="P10"/>
      <c r="Q10"/>
      <c r="R10"/>
      <c r="S10"/>
      <c r="T10"/>
      <c r="U10"/>
      <c r="V10"/>
      <c r="W10"/>
      <c r="X10"/>
      <c r="Y10"/>
      <c r="Z10"/>
      <c r="AA10"/>
      <c r="AB10"/>
      <c r="AC10"/>
      <c r="AD10"/>
      <c r="AE10"/>
      <c r="AF10"/>
      <c r="AG10"/>
      <c r="AH10"/>
      <c r="AI10"/>
      <c r="AJ10"/>
      <c r="AK10"/>
      <c r="AL10"/>
      <c r="AM10"/>
      <c r="AN10"/>
      <c r="AO10"/>
    </row>
    <row r="11" spans="2:41" ht="15.45" thickTop="1" thickBot="1">
      <c r="B11" s="523" t="s">
        <v>42</v>
      </c>
      <c r="C11" s="2268" t="s">
        <v>1726</v>
      </c>
      <c r="D11" s="2269"/>
      <c r="E11" s="2269"/>
      <c r="F11" s="2269"/>
      <c r="G11" s="2269"/>
      <c r="H11" s="2270"/>
      <c r="I11"/>
      <c r="J11"/>
      <c r="K11"/>
      <c r="L11"/>
      <c r="M11"/>
      <c r="N11"/>
      <c r="O11"/>
      <c r="P11"/>
      <c r="Q11"/>
      <c r="R11"/>
      <c r="S11"/>
      <c r="T11"/>
      <c r="U11"/>
      <c r="V11"/>
      <c r="W11"/>
      <c r="X11"/>
      <c r="Y11"/>
      <c r="Z11"/>
      <c r="AA11"/>
      <c r="AB11"/>
      <c r="AC11"/>
      <c r="AD11"/>
      <c r="AE11"/>
      <c r="AF11"/>
      <c r="AG11"/>
      <c r="AH11"/>
      <c r="AI11"/>
      <c r="AJ11"/>
      <c r="AK11"/>
      <c r="AL11"/>
      <c r="AM11"/>
      <c r="AN11"/>
      <c r="AO11"/>
    </row>
    <row r="12" spans="2:41" ht="30" customHeight="1" thickTop="1">
      <c r="B12" s="1579" t="s">
        <v>1</v>
      </c>
      <c r="C12" s="2238" t="s">
        <v>1816</v>
      </c>
      <c r="D12" s="2239"/>
      <c r="E12" s="2239"/>
      <c r="F12" s="2239"/>
      <c r="G12" s="2239"/>
      <c r="H12" s="2240"/>
      <c r="I12"/>
      <c r="J12"/>
      <c r="K12"/>
      <c r="L12"/>
      <c r="M12"/>
      <c r="N12"/>
      <c r="O12"/>
      <c r="P12"/>
      <c r="Q12"/>
      <c r="R12"/>
      <c r="S12"/>
      <c r="T12"/>
      <c r="U12"/>
      <c r="V12"/>
      <c r="W12"/>
      <c r="X12"/>
      <c r="Y12"/>
      <c r="Z12"/>
      <c r="AA12"/>
      <c r="AB12"/>
      <c r="AC12"/>
      <c r="AD12"/>
      <c r="AE12"/>
      <c r="AF12"/>
      <c r="AG12"/>
      <c r="AH12"/>
      <c r="AI12"/>
      <c r="AJ12"/>
      <c r="AK12"/>
      <c r="AL12"/>
      <c r="AM12"/>
      <c r="AN12"/>
      <c r="AO12"/>
    </row>
    <row r="13" spans="2:41" ht="30" customHeight="1">
      <c r="B13" s="1580" t="s">
        <v>41</v>
      </c>
      <c r="C13" s="2265" t="s">
        <v>1815</v>
      </c>
      <c r="D13" s="2266"/>
      <c r="E13" s="2266"/>
      <c r="F13" s="2266"/>
      <c r="G13" s="2266"/>
      <c r="H13" s="2267"/>
      <c r="I13"/>
      <c r="J13"/>
      <c r="K13"/>
      <c r="L13"/>
      <c r="M13"/>
      <c r="N13"/>
      <c r="O13"/>
      <c r="P13"/>
      <c r="Q13"/>
      <c r="R13"/>
      <c r="S13"/>
      <c r="T13"/>
      <c r="U13"/>
      <c r="V13"/>
      <c r="W13"/>
      <c r="X13"/>
      <c r="Y13"/>
      <c r="Z13"/>
      <c r="AA13"/>
      <c r="AB13"/>
      <c r="AC13"/>
      <c r="AD13"/>
      <c r="AE13"/>
      <c r="AF13"/>
      <c r="AG13"/>
      <c r="AH13"/>
      <c r="AI13"/>
      <c r="AJ13"/>
      <c r="AK13"/>
      <c r="AL13"/>
      <c r="AM13"/>
      <c r="AN13"/>
      <c r="AO13"/>
    </row>
    <row r="14" spans="2:41" ht="30" customHeight="1">
      <c r="B14" s="1580" t="s">
        <v>2</v>
      </c>
      <c r="C14" s="2265" t="s">
        <v>1814</v>
      </c>
      <c r="D14" s="2266"/>
      <c r="E14" s="2266"/>
      <c r="F14" s="2266"/>
      <c r="G14" s="2266"/>
      <c r="H14" s="2267"/>
      <c r="I14"/>
      <c r="J14"/>
      <c r="K14"/>
      <c r="L14"/>
      <c r="M14"/>
      <c r="N14"/>
      <c r="O14"/>
      <c r="P14"/>
      <c r="Q14"/>
      <c r="R14"/>
      <c r="S14"/>
      <c r="T14"/>
      <c r="U14"/>
      <c r="V14"/>
      <c r="W14"/>
      <c r="X14"/>
      <c r="Y14"/>
      <c r="Z14"/>
      <c r="AA14"/>
      <c r="AB14"/>
      <c r="AC14"/>
      <c r="AD14"/>
      <c r="AE14"/>
      <c r="AF14"/>
      <c r="AG14"/>
      <c r="AH14"/>
      <c r="AI14"/>
      <c r="AJ14"/>
      <c r="AK14"/>
      <c r="AL14"/>
      <c r="AM14"/>
      <c r="AN14"/>
      <c r="AO14"/>
    </row>
    <row r="15" spans="2:41" ht="30" customHeight="1">
      <c r="B15" s="1580" t="s">
        <v>3</v>
      </c>
      <c r="C15" s="2265" t="s">
        <v>1812</v>
      </c>
      <c r="D15" s="2266"/>
      <c r="E15" s="2266"/>
      <c r="F15" s="2266"/>
      <c r="G15" s="2266"/>
      <c r="H15" s="2267"/>
      <c r="I15"/>
      <c r="J15"/>
      <c r="K15"/>
      <c r="L15"/>
      <c r="M15"/>
      <c r="N15"/>
      <c r="O15"/>
      <c r="P15"/>
      <c r="Q15"/>
      <c r="R15"/>
      <c r="S15"/>
      <c r="T15"/>
      <c r="U15"/>
      <c r="V15"/>
      <c r="W15"/>
      <c r="X15"/>
      <c r="Y15"/>
      <c r="Z15"/>
      <c r="AA15"/>
      <c r="AB15"/>
      <c r="AC15"/>
      <c r="AD15"/>
      <c r="AE15"/>
      <c r="AF15"/>
      <c r="AG15"/>
      <c r="AH15"/>
      <c r="AI15"/>
      <c r="AJ15"/>
      <c r="AK15"/>
      <c r="AL15"/>
      <c r="AM15"/>
      <c r="AN15"/>
      <c r="AO15"/>
    </row>
    <row r="16" spans="2:41" ht="30" customHeight="1">
      <c r="B16" s="1581" t="s">
        <v>1278</v>
      </c>
      <c r="C16" s="2265" t="s">
        <v>1727</v>
      </c>
      <c r="D16" s="2266"/>
      <c r="E16" s="2266"/>
      <c r="F16" s="2266"/>
      <c r="G16" s="2266"/>
      <c r="H16" s="2267"/>
      <c r="I16"/>
      <c r="J16"/>
      <c r="K16"/>
      <c r="L16"/>
      <c r="M16"/>
      <c r="N16"/>
      <c r="O16"/>
      <c r="P16"/>
      <c r="Q16"/>
      <c r="R16"/>
      <c r="S16"/>
      <c r="T16"/>
      <c r="U16"/>
      <c r="V16"/>
      <c r="W16"/>
      <c r="X16"/>
      <c r="Y16"/>
      <c r="Z16"/>
      <c r="AA16"/>
      <c r="AB16"/>
      <c r="AC16"/>
      <c r="AD16"/>
      <c r="AE16"/>
      <c r="AF16"/>
      <c r="AG16"/>
      <c r="AH16"/>
      <c r="AI16"/>
      <c r="AJ16"/>
      <c r="AK16"/>
      <c r="AL16"/>
      <c r="AM16"/>
      <c r="AN16"/>
      <c r="AO16"/>
    </row>
    <row r="17" spans="1:41" ht="30" customHeight="1" thickBot="1">
      <c r="B17" s="1582" t="s">
        <v>1279</v>
      </c>
      <c r="C17" s="2265" t="s">
        <v>1813</v>
      </c>
      <c r="D17" s="2266"/>
      <c r="E17" s="2266"/>
      <c r="F17" s="2266"/>
      <c r="G17" s="2266"/>
      <c r="H17" s="2267"/>
      <c r="I17" s="43"/>
      <c r="J17"/>
      <c r="K17"/>
      <c r="L17"/>
      <c r="M17"/>
      <c r="N17"/>
      <c r="O17"/>
      <c r="P17"/>
      <c r="Q17"/>
      <c r="R17"/>
      <c r="S17"/>
      <c r="T17"/>
      <c r="U17"/>
      <c r="V17"/>
      <c r="W17"/>
      <c r="X17"/>
      <c r="Y17"/>
      <c r="Z17"/>
      <c r="AA17"/>
      <c r="AB17"/>
      <c r="AC17"/>
      <c r="AD17"/>
      <c r="AE17"/>
      <c r="AF17"/>
      <c r="AG17"/>
      <c r="AH17"/>
      <c r="AI17"/>
      <c r="AJ17"/>
      <c r="AK17"/>
      <c r="AL17"/>
      <c r="AM17"/>
      <c r="AN17"/>
      <c r="AO17"/>
    </row>
    <row r="18" spans="1:41" ht="15" thickTop="1">
      <c r="A18" s="23">
        <v>1</v>
      </c>
      <c r="C18" s="43"/>
      <c r="D18" s="43"/>
      <c r="E18" s="43"/>
      <c r="F18" s="43"/>
      <c r="G18" s="43"/>
      <c r="H18" s="43"/>
      <c r="I18" s="43"/>
      <c r="J18"/>
      <c r="K18"/>
      <c r="L18"/>
      <c r="M18"/>
      <c r="N18"/>
      <c r="O18"/>
      <c r="P18"/>
      <c r="Q18"/>
      <c r="R18"/>
      <c r="S18"/>
      <c r="T18"/>
      <c r="U18"/>
      <c r="V18"/>
      <c r="W18"/>
      <c r="X18"/>
      <c r="Y18"/>
      <c r="Z18"/>
      <c r="AA18"/>
      <c r="AB18"/>
      <c r="AC18"/>
      <c r="AD18"/>
      <c r="AE18"/>
      <c r="AF18"/>
      <c r="AG18"/>
      <c r="AH18"/>
      <c r="AI18"/>
      <c r="AJ18"/>
      <c r="AK18"/>
      <c r="AL18"/>
      <c r="AM18"/>
      <c r="AN18"/>
      <c r="AO18"/>
    </row>
    <row r="19" spans="1:41">
      <c r="A19" s="23">
        <f>1+A18</f>
        <v>2</v>
      </c>
      <c r="J19"/>
      <c r="K19"/>
      <c r="L19"/>
      <c r="M19"/>
      <c r="N19"/>
      <c r="O19"/>
      <c r="P19"/>
      <c r="Q19"/>
      <c r="R19"/>
      <c r="S19"/>
      <c r="T19"/>
      <c r="U19"/>
      <c r="V19"/>
      <c r="W19"/>
      <c r="X19"/>
      <c r="Y19"/>
      <c r="Z19"/>
      <c r="AA19"/>
      <c r="AB19"/>
      <c r="AC19"/>
      <c r="AD19"/>
      <c r="AE19"/>
      <c r="AF19"/>
      <c r="AG19"/>
      <c r="AH19"/>
      <c r="AI19"/>
      <c r="AJ19"/>
      <c r="AK19"/>
      <c r="AL19"/>
      <c r="AM19"/>
      <c r="AN19"/>
      <c r="AO19"/>
    </row>
    <row r="20" spans="1:41">
      <c r="A20" s="23">
        <f t="shared" ref="A20:A37" si="0">1+A19</f>
        <v>3</v>
      </c>
      <c r="J20"/>
      <c r="K20"/>
      <c r="L20"/>
      <c r="M20"/>
      <c r="N20"/>
      <c r="O20"/>
      <c r="P20"/>
      <c r="Q20"/>
      <c r="R20"/>
      <c r="S20"/>
      <c r="T20"/>
      <c r="U20"/>
      <c r="V20"/>
      <c r="W20"/>
      <c r="X20"/>
      <c r="Y20"/>
      <c r="Z20"/>
      <c r="AA20"/>
      <c r="AB20"/>
      <c r="AC20"/>
      <c r="AD20"/>
      <c r="AE20"/>
      <c r="AF20"/>
      <c r="AG20"/>
      <c r="AH20"/>
      <c r="AI20"/>
      <c r="AJ20"/>
      <c r="AK20"/>
      <c r="AL20"/>
      <c r="AM20"/>
      <c r="AN20"/>
      <c r="AO20"/>
    </row>
    <row r="21" spans="1:41">
      <c r="A21" s="23">
        <f t="shared" si="0"/>
        <v>4</v>
      </c>
      <c r="J21"/>
      <c r="K21"/>
      <c r="L21"/>
      <c r="M21"/>
      <c r="N21"/>
      <c r="O21"/>
      <c r="P21"/>
      <c r="Q21"/>
      <c r="R21"/>
      <c r="S21"/>
      <c r="T21"/>
      <c r="U21"/>
      <c r="V21"/>
      <c r="W21"/>
      <c r="X21"/>
      <c r="Y21"/>
      <c r="Z21"/>
      <c r="AA21"/>
      <c r="AB21"/>
      <c r="AC21"/>
      <c r="AD21"/>
      <c r="AE21"/>
      <c r="AF21"/>
      <c r="AG21"/>
      <c r="AH21"/>
      <c r="AI21"/>
      <c r="AJ21"/>
      <c r="AK21"/>
      <c r="AL21"/>
      <c r="AM21"/>
      <c r="AN21"/>
      <c r="AO21"/>
    </row>
    <row r="22" spans="1:41">
      <c r="A22" s="23">
        <f t="shared" si="0"/>
        <v>5</v>
      </c>
      <c r="J22"/>
      <c r="K22"/>
      <c r="L22"/>
      <c r="M22"/>
      <c r="N22"/>
      <c r="O22"/>
      <c r="P22"/>
      <c r="Q22"/>
      <c r="R22"/>
      <c r="S22"/>
      <c r="T22"/>
      <c r="U22"/>
      <c r="V22"/>
      <c r="W22"/>
      <c r="X22"/>
      <c r="Y22"/>
      <c r="Z22"/>
      <c r="AA22"/>
      <c r="AB22"/>
      <c r="AC22"/>
      <c r="AD22"/>
      <c r="AE22"/>
      <c r="AF22"/>
      <c r="AG22"/>
      <c r="AH22"/>
      <c r="AI22"/>
      <c r="AJ22"/>
      <c r="AK22"/>
      <c r="AL22"/>
      <c r="AM22"/>
      <c r="AN22"/>
      <c r="AO22"/>
    </row>
    <row r="23" spans="1:41">
      <c r="A23" s="23">
        <f t="shared" si="0"/>
        <v>6</v>
      </c>
      <c r="J23"/>
      <c r="K23"/>
      <c r="L23"/>
      <c r="M23"/>
      <c r="N23"/>
      <c r="O23"/>
      <c r="P23"/>
      <c r="Q23"/>
      <c r="R23"/>
      <c r="S23"/>
      <c r="T23"/>
      <c r="U23"/>
      <c r="V23"/>
      <c r="W23"/>
      <c r="X23"/>
      <c r="Y23"/>
      <c r="Z23"/>
      <c r="AA23"/>
      <c r="AB23"/>
      <c r="AC23"/>
      <c r="AD23"/>
      <c r="AE23"/>
      <c r="AF23"/>
      <c r="AG23"/>
      <c r="AH23"/>
      <c r="AI23"/>
      <c r="AJ23"/>
      <c r="AK23"/>
      <c r="AL23"/>
      <c r="AM23"/>
      <c r="AN23"/>
      <c r="AO23"/>
    </row>
    <row r="24" spans="1:41">
      <c r="A24" s="23">
        <f t="shared" si="0"/>
        <v>7</v>
      </c>
      <c r="J24"/>
      <c r="K24"/>
      <c r="L24"/>
      <c r="M24"/>
      <c r="N24"/>
      <c r="O24"/>
      <c r="P24"/>
      <c r="Q24"/>
      <c r="R24"/>
      <c r="S24"/>
      <c r="T24"/>
      <c r="U24"/>
      <c r="V24"/>
      <c r="W24"/>
      <c r="X24"/>
      <c r="Y24"/>
      <c r="Z24"/>
      <c r="AA24"/>
      <c r="AB24"/>
      <c r="AC24"/>
      <c r="AD24"/>
      <c r="AE24"/>
      <c r="AF24"/>
      <c r="AG24"/>
      <c r="AH24"/>
      <c r="AI24"/>
      <c r="AJ24"/>
      <c r="AK24"/>
      <c r="AL24"/>
      <c r="AM24"/>
      <c r="AN24"/>
      <c r="AO24"/>
    </row>
    <row r="25" spans="1:41">
      <c r="A25" s="23">
        <f t="shared" si="0"/>
        <v>8</v>
      </c>
      <c r="J25"/>
      <c r="K25"/>
      <c r="L25"/>
      <c r="M25"/>
      <c r="N25"/>
      <c r="O25"/>
      <c r="P25"/>
      <c r="Q25"/>
      <c r="R25"/>
      <c r="S25"/>
      <c r="T25"/>
      <c r="U25"/>
      <c r="V25"/>
      <c r="W25"/>
      <c r="X25"/>
      <c r="Y25"/>
      <c r="Z25"/>
      <c r="AA25"/>
      <c r="AB25"/>
      <c r="AC25"/>
      <c r="AD25"/>
      <c r="AE25"/>
      <c r="AF25"/>
      <c r="AG25"/>
      <c r="AH25"/>
      <c r="AI25"/>
      <c r="AJ25"/>
      <c r="AK25"/>
      <c r="AL25"/>
      <c r="AM25"/>
      <c r="AN25"/>
      <c r="AO25"/>
    </row>
    <row r="26" spans="1:41">
      <c r="A26" s="23">
        <f t="shared" si="0"/>
        <v>9</v>
      </c>
      <c r="J26"/>
      <c r="K26"/>
      <c r="L26"/>
      <c r="M26"/>
      <c r="N26"/>
      <c r="O26"/>
      <c r="P26"/>
      <c r="Q26"/>
      <c r="R26"/>
      <c r="S26"/>
      <c r="T26"/>
      <c r="U26"/>
      <c r="V26"/>
      <c r="W26"/>
      <c r="X26"/>
      <c r="Y26"/>
      <c r="Z26"/>
      <c r="AA26"/>
      <c r="AB26"/>
      <c r="AC26"/>
      <c r="AD26"/>
      <c r="AE26"/>
      <c r="AF26"/>
      <c r="AG26"/>
      <c r="AH26"/>
      <c r="AI26"/>
      <c r="AJ26"/>
      <c r="AK26"/>
      <c r="AL26"/>
      <c r="AM26"/>
      <c r="AN26"/>
      <c r="AO26"/>
    </row>
    <row r="27" spans="1:41">
      <c r="A27" s="23">
        <f t="shared" si="0"/>
        <v>10</v>
      </c>
      <c r="J27"/>
      <c r="K27"/>
      <c r="L27"/>
      <c r="M27"/>
      <c r="N27"/>
      <c r="O27"/>
      <c r="P27"/>
      <c r="Q27"/>
      <c r="R27"/>
      <c r="S27"/>
      <c r="T27"/>
      <c r="U27"/>
      <c r="V27"/>
      <c r="W27"/>
      <c r="X27"/>
      <c r="Y27"/>
      <c r="Z27"/>
      <c r="AA27"/>
      <c r="AB27"/>
      <c r="AC27"/>
      <c r="AD27"/>
      <c r="AE27"/>
      <c r="AF27"/>
      <c r="AG27"/>
      <c r="AH27"/>
      <c r="AI27"/>
      <c r="AJ27"/>
      <c r="AK27"/>
      <c r="AL27"/>
      <c r="AM27"/>
      <c r="AN27"/>
      <c r="AO27"/>
    </row>
    <row r="28" spans="1:41">
      <c r="A28" s="23">
        <f t="shared" si="0"/>
        <v>11</v>
      </c>
      <c r="J28"/>
      <c r="K28"/>
      <c r="L28"/>
      <c r="M28"/>
      <c r="N28"/>
      <c r="O28"/>
      <c r="P28"/>
      <c r="Q28"/>
      <c r="R28"/>
      <c r="S28"/>
      <c r="T28"/>
      <c r="U28"/>
      <c r="V28"/>
      <c r="W28"/>
      <c r="X28"/>
      <c r="Y28"/>
      <c r="Z28"/>
      <c r="AA28"/>
      <c r="AB28"/>
      <c r="AC28"/>
      <c r="AD28"/>
      <c r="AE28"/>
      <c r="AF28"/>
      <c r="AG28"/>
      <c r="AH28"/>
      <c r="AI28"/>
      <c r="AJ28"/>
      <c r="AK28"/>
      <c r="AL28"/>
      <c r="AM28"/>
      <c r="AN28"/>
      <c r="AO28"/>
    </row>
    <row r="29" spans="1:41">
      <c r="A29" s="23">
        <f t="shared" si="0"/>
        <v>12</v>
      </c>
      <c r="J29"/>
      <c r="K29"/>
      <c r="L29"/>
      <c r="M29"/>
      <c r="N29"/>
      <c r="O29"/>
      <c r="P29"/>
      <c r="Q29"/>
      <c r="R29"/>
      <c r="S29"/>
      <c r="T29"/>
      <c r="U29"/>
      <c r="V29"/>
      <c r="W29"/>
      <c r="X29"/>
      <c r="Y29"/>
      <c r="Z29"/>
      <c r="AA29"/>
      <c r="AB29"/>
      <c r="AC29"/>
      <c r="AD29"/>
      <c r="AE29"/>
      <c r="AF29"/>
      <c r="AG29"/>
      <c r="AH29"/>
      <c r="AI29"/>
      <c r="AJ29"/>
      <c r="AK29"/>
      <c r="AL29"/>
      <c r="AM29"/>
      <c r="AN29"/>
      <c r="AO29"/>
    </row>
    <row r="30" spans="1:41">
      <c r="A30" s="23">
        <f t="shared" si="0"/>
        <v>13</v>
      </c>
      <c r="J30"/>
      <c r="K30"/>
      <c r="L30"/>
      <c r="M30"/>
      <c r="N30"/>
      <c r="O30"/>
      <c r="P30"/>
      <c r="Q30"/>
      <c r="R30"/>
      <c r="S30"/>
      <c r="T30"/>
      <c r="U30"/>
      <c r="V30"/>
      <c r="W30"/>
      <c r="X30"/>
      <c r="Y30"/>
      <c r="Z30"/>
      <c r="AA30"/>
      <c r="AB30"/>
      <c r="AC30"/>
      <c r="AD30"/>
      <c r="AE30"/>
      <c r="AF30"/>
      <c r="AG30"/>
      <c r="AH30"/>
      <c r="AI30"/>
      <c r="AJ30"/>
      <c r="AK30"/>
      <c r="AL30"/>
      <c r="AM30"/>
      <c r="AN30"/>
      <c r="AO30"/>
    </row>
    <row r="31" spans="1:41">
      <c r="A31" s="23">
        <f t="shared" si="0"/>
        <v>14</v>
      </c>
      <c r="J31"/>
      <c r="K31"/>
      <c r="L31"/>
      <c r="M31"/>
      <c r="N31"/>
      <c r="O31"/>
      <c r="P31"/>
      <c r="Q31"/>
      <c r="R31"/>
      <c r="S31"/>
      <c r="T31"/>
      <c r="U31"/>
      <c r="V31"/>
      <c r="W31"/>
      <c r="X31"/>
      <c r="Y31"/>
      <c r="Z31"/>
      <c r="AA31"/>
      <c r="AB31"/>
      <c r="AC31"/>
      <c r="AD31"/>
      <c r="AE31"/>
      <c r="AF31"/>
      <c r="AG31"/>
      <c r="AH31"/>
      <c r="AI31"/>
      <c r="AJ31"/>
      <c r="AK31"/>
      <c r="AL31"/>
      <c r="AM31"/>
      <c r="AN31"/>
      <c r="AO31"/>
    </row>
    <row r="32" spans="1:41">
      <c r="A32" s="23">
        <f t="shared" si="0"/>
        <v>15</v>
      </c>
      <c r="J32"/>
      <c r="K32"/>
      <c r="L32"/>
      <c r="M32"/>
      <c r="N32"/>
      <c r="O32"/>
      <c r="P32"/>
      <c r="Q32"/>
      <c r="R32"/>
      <c r="S32"/>
      <c r="T32"/>
      <c r="U32"/>
      <c r="V32"/>
      <c r="W32"/>
      <c r="X32"/>
      <c r="Y32"/>
      <c r="Z32"/>
      <c r="AA32"/>
      <c r="AB32"/>
      <c r="AC32"/>
      <c r="AD32"/>
      <c r="AE32"/>
      <c r="AF32"/>
      <c r="AG32"/>
      <c r="AH32"/>
      <c r="AI32"/>
      <c r="AJ32"/>
      <c r="AK32"/>
      <c r="AL32"/>
      <c r="AM32"/>
      <c r="AN32"/>
      <c r="AO32"/>
    </row>
    <row r="33" spans="1:41" s="43" customFormat="1">
      <c r="A33" s="23">
        <f t="shared" si="0"/>
        <v>16</v>
      </c>
      <c r="C33"/>
      <c r="D33"/>
      <c r="E33"/>
      <c r="F33"/>
      <c r="G33"/>
      <c r="H33"/>
      <c r="I33"/>
      <c r="J33"/>
      <c r="K33"/>
      <c r="L33"/>
      <c r="M33"/>
      <c r="N33"/>
      <c r="O33"/>
      <c r="P33"/>
      <c r="Q33"/>
      <c r="R33"/>
      <c r="S33"/>
      <c r="T33"/>
      <c r="U33"/>
      <c r="V33"/>
      <c r="W33"/>
      <c r="X33"/>
      <c r="Y33"/>
      <c r="Z33"/>
      <c r="AA33"/>
      <c r="AB33"/>
      <c r="AC33"/>
      <c r="AD33"/>
      <c r="AE33"/>
      <c r="AF33"/>
      <c r="AG33"/>
      <c r="AH33"/>
      <c r="AI33"/>
      <c r="AJ33"/>
      <c r="AK33"/>
      <c r="AL33"/>
      <c r="AM33"/>
      <c r="AN33"/>
      <c r="AO33"/>
    </row>
    <row r="34" spans="1:41">
      <c r="A34" s="23">
        <f t="shared" si="0"/>
        <v>17</v>
      </c>
      <c r="C34"/>
      <c r="D34"/>
      <c r="E34"/>
      <c r="F34"/>
      <c r="G34"/>
      <c r="H34"/>
      <c r="I34"/>
      <c r="J34"/>
      <c r="K34"/>
      <c r="L34"/>
      <c r="M34"/>
      <c r="N34"/>
      <c r="O34"/>
      <c r="P34"/>
      <c r="Q34"/>
      <c r="R34"/>
      <c r="S34"/>
      <c r="T34"/>
      <c r="U34"/>
      <c r="V34"/>
      <c r="W34"/>
      <c r="X34"/>
      <c r="Y34"/>
      <c r="Z34"/>
      <c r="AA34"/>
      <c r="AB34"/>
      <c r="AC34"/>
      <c r="AD34"/>
      <c r="AE34"/>
      <c r="AF34"/>
      <c r="AG34"/>
      <c r="AH34"/>
      <c r="AI34"/>
      <c r="AJ34"/>
      <c r="AK34"/>
      <c r="AL34"/>
      <c r="AM34"/>
      <c r="AN34"/>
      <c r="AO34"/>
    </row>
    <row r="35" spans="1:41" s="526" customFormat="1" ht="18.45">
      <c r="A35" s="23">
        <f t="shared" si="0"/>
        <v>18</v>
      </c>
      <c r="C35"/>
      <c r="D35"/>
      <c r="E35"/>
      <c r="F35"/>
      <c r="G35"/>
      <c r="H35"/>
      <c r="I35"/>
      <c r="J35"/>
      <c r="K35"/>
      <c r="L35"/>
      <c r="M35"/>
      <c r="N35"/>
      <c r="O35"/>
      <c r="P35"/>
      <c r="Q35"/>
      <c r="R35"/>
      <c r="S35"/>
      <c r="T35"/>
      <c r="U35"/>
      <c r="V35"/>
      <c r="W35"/>
      <c r="X35"/>
      <c r="Y35"/>
      <c r="Z35"/>
      <c r="AA35"/>
      <c r="AB35"/>
      <c r="AC35"/>
      <c r="AD35"/>
      <c r="AE35"/>
      <c r="AF35"/>
      <c r="AG35"/>
      <c r="AH35"/>
      <c r="AI35"/>
      <c r="AJ35"/>
      <c r="AK35"/>
      <c r="AL35"/>
      <c r="AM35"/>
      <c r="AN35"/>
      <c r="AO35"/>
    </row>
    <row r="36" spans="1:41">
      <c r="A36" s="23">
        <f t="shared" si="0"/>
        <v>19</v>
      </c>
      <c r="C36"/>
      <c r="D36"/>
      <c r="E36"/>
      <c r="F36"/>
      <c r="G36"/>
      <c r="H36"/>
      <c r="I36"/>
      <c r="J36"/>
      <c r="K36"/>
      <c r="L36"/>
      <c r="M36"/>
      <c r="N36"/>
      <c r="O36"/>
      <c r="P36"/>
      <c r="Q36"/>
      <c r="R36"/>
      <c r="S36"/>
      <c r="T36"/>
      <c r="U36"/>
      <c r="V36"/>
      <c r="W36"/>
      <c r="X36"/>
      <c r="Y36"/>
      <c r="Z36"/>
      <c r="AA36"/>
      <c r="AB36"/>
      <c r="AC36"/>
      <c r="AD36"/>
      <c r="AE36"/>
      <c r="AF36"/>
      <c r="AG36"/>
      <c r="AH36"/>
      <c r="AI36"/>
      <c r="AJ36"/>
      <c r="AK36"/>
      <c r="AL36"/>
      <c r="AM36"/>
      <c r="AN36"/>
      <c r="AO36"/>
    </row>
    <row r="37" spans="1:41">
      <c r="A37" s="23">
        <f t="shared" si="0"/>
        <v>20</v>
      </c>
    </row>
    <row r="38" spans="1:41" ht="18.899999999999999" thickBot="1">
      <c r="C38" s="525" t="s">
        <v>2166</v>
      </c>
      <c r="D38" s="525" t="s">
        <v>2167</v>
      </c>
      <c r="E38" s="525" t="s">
        <v>2168</v>
      </c>
      <c r="F38" s="525" t="s">
        <v>2169</v>
      </c>
      <c r="G38" s="525" t="s">
        <v>2170</v>
      </c>
      <c r="H38" s="525" t="s">
        <v>2171</v>
      </c>
    </row>
    <row r="39" spans="1:41" ht="15" thickTop="1">
      <c r="C39" s="521" t="s">
        <v>2160</v>
      </c>
      <c r="D39" s="522" t="s">
        <v>2161</v>
      </c>
      <c r="E39" s="522" t="s">
        <v>2162</v>
      </c>
      <c r="F39" s="522" t="s">
        <v>2163</v>
      </c>
      <c r="G39" s="889" t="s">
        <v>2164</v>
      </c>
      <c r="H39" s="842" t="s">
        <v>2165</v>
      </c>
    </row>
    <row r="40" spans="1:41" ht="13.5" customHeight="1">
      <c r="B40" s="529"/>
      <c r="C40" s="888" t="s">
        <v>1</v>
      </c>
      <c r="D40" s="677" t="s">
        <v>41</v>
      </c>
      <c r="E40" s="677" t="s">
        <v>2</v>
      </c>
      <c r="F40" s="677" t="s">
        <v>3</v>
      </c>
      <c r="G40" s="890" t="s">
        <v>1278</v>
      </c>
      <c r="H40" s="678" t="s">
        <v>1279</v>
      </c>
      <c r="J40"/>
      <c r="K40"/>
      <c r="L40"/>
      <c r="M40"/>
      <c r="N40"/>
      <c r="O40"/>
      <c r="P40"/>
      <c r="Q40"/>
      <c r="R40"/>
      <c r="S40"/>
    </row>
    <row r="41" spans="1:41">
      <c r="B41" s="529"/>
      <c r="C41" s="324" t="s">
        <v>4</v>
      </c>
      <c r="D41" s="329" t="s">
        <v>15</v>
      </c>
      <c r="E41" s="329" t="s">
        <v>1249</v>
      </c>
      <c r="F41" s="329" t="s">
        <v>1250</v>
      </c>
      <c r="G41" s="191" t="s">
        <v>191</v>
      </c>
      <c r="H41" s="891" t="s">
        <v>1279</v>
      </c>
      <c r="J41"/>
      <c r="K41"/>
      <c r="L41"/>
      <c r="M41"/>
      <c r="N41"/>
      <c r="O41"/>
      <c r="P41"/>
      <c r="Q41"/>
      <c r="R41"/>
      <c r="S41"/>
    </row>
    <row r="42" spans="1:41">
      <c r="C42" s="324" t="s">
        <v>12</v>
      </c>
      <c r="D42" s="329" t="s">
        <v>16</v>
      </c>
      <c r="E42" s="329" t="s">
        <v>1251</v>
      </c>
      <c r="F42" s="329" t="s">
        <v>1252</v>
      </c>
      <c r="G42" s="191" t="s">
        <v>190</v>
      </c>
      <c r="H42" s="841"/>
      <c r="J42"/>
      <c r="K42"/>
      <c r="L42"/>
      <c r="M42"/>
      <c r="N42"/>
      <c r="O42"/>
      <c r="P42"/>
      <c r="Q42"/>
      <c r="R42"/>
      <c r="S42"/>
    </row>
    <row r="43" spans="1:41">
      <c r="C43" s="324" t="s">
        <v>13</v>
      </c>
      <c r="D43" s="329" t="s">
        <v>1281</v>
      </c>
      <c r="E43" s="329" t="s">
        <v>1253</v>
      </c>
      <c r="F43" s="329" t="s">
        <v>1254</v>
      </c>
      <c r="G43" s="191" t="s">
        <v>187</v>
      </c>
      <c r="H43" s="841"/>
      <c r="J43"/>
      <c r="K43"/>
      <c r="L43"/>
      <c r="M43"/>
      <c r="N43"/>
      <c r="O43"/>
      <c r="P43"/>
      <c r="Q43"/>
      <c r="R43"/>
      <c r="S43"/>
    </row>
    <row r="44" spans="1:41">
      <c r="C44" s="324" t="s">
        <v>14</v>
      </c>
      <c r="D44" s="329"/>
      <c r="E44" s="329" t="s">
        <v>1255</v>
      </c>
      <c r="F44" s="329" t="s">
        <v>1256</v>
      </c>
      <c r="G44" s="191" t="s">
        <v>188</v>
      </c>
      <c r="H44" s="841"/>
      <c r="J44"/>
      <c r="K44"/>
      <c r="L44"/>
      <c r="M44"/>
      <c r="N44"/>
      <c r="O44"/>
      <c r="P44"/>
      <c r="Q44"/>
      <c r="R44"/>
      <c r="S44"/>
    </row>
    <row r="45" spans="1:41">
      <c r="C45" s="324" t="s">
        <v>5</v>
      </c>
      <c r="D45" s="329"/>
      <c r="E45" s="329" t="s">
        <v>1257</v>
      </c>
      <c r="F45" s="329" t="s">
        <v>1258</v>
      </c>
      <c r="G45" s="191" t="s">
        <v>189</v>
      </c>
      <c r="H45" s="841"/>
      <c r="J45"/>
      <c r="K45"/>
      <c r="L45"/>
      <c r="M45"/>
      <c r="N45"/>
      <c r="O45"/>
      <c r="P45"/>
      <c r="Q45"/>
      <c r="R45"/>
      <c r="S45"/>
    </row>
    <row r="46" spans="1:41">
      <c r="C46" s="324" t="s">
        <v>6</v>
      </c>
      <c r="D46" s="329"/>
      <c r="E46" s="329" t="s">
        <v>1259</v>
      </c>
      <c r="F46" s="329" t="s">
        <v>1260</v>
      </c>
      <c r="G46" s="191" t="s">
        <v>195</v>
      </c>
      <c r="H46" s="841"/>
      <c r="J46"/>
      <c r="K46"/>
      <c r="L46"/>
      <c r="M46"/>
      <c r="N46"/>
      <c r="O46"/>
      <c r="P46"/>
      <c r="Q46"/>
      <c r="R46"/>
      <c r="S46"/>
    </row>
    <row r="47" spans="1:41">
      <c r="C47" s="324" t="s">
        <v>7</v>
      </c>
      <c r="D47" s="329"/>
      <c r="E47" s="329" t="s">
        <v>1261</v>
      </c>
      <c r="F47" s="329" t="s">
        <v>1262</v>
      </c>
      <c r="G47" s="191"/>
      <c r="H47" s="841"/>
      <c r="J47"/>
      <c r="K47"/>
      <c r="L47"/>
      <c r="M47"/>
      <c r="N47"/>
      <c r="O47"/>
      <c r="P47"/>
      <c r="Q47"/>
      <c r="R47"/>
      <c r="S47"/>
    </row>
    <row r="48" spans="1:41">
      <c r="C48" s="324" t="s">
        <v>8</v>
      </c>
      <c r="D48" s="329"/>
      <c r="E48" s="329" t="s">
        <v>1263</v>
      </c>
      <c r="F48" s="329" t="s">
        <v>116</v>
      </c>
      <c r="G48" s="191"/>
      <c r="H48" s="841"/>
      <c r="J48"/>
      <c r="K48"/>
      <c r="L48"/>
      <c r="M48"/>
      <c r="N48"/>
      <c r="O48"/>
      <c r="P48"/>
      <c r="Q48"/>
      <c r="R48"/>
      <c r="S48"/>
    </row>
    <row r="49" spans="3:19">
      <c r="C49" s="324" t="s">
        <v>9</v>
      </c>
      <c r="D49" s="329"/>
      <c r="E49" s="329" t="s">
        <v>26</v>
      </c>
      <c r="F49" s="329" t="s">
        <v>1264</v>
      </c>
      <c r="G49" s="191"/>
      <c r="H49" s="841"/>
      <c r="J49"/>
      <c r="K49"/>
      <c r="L49"/>
      <c r="M49"/>
      <c r="N49"/>
      <c r="O49"/>
      <c r="P49"/>
      <c r="Q49"/>
      <c r="R49"/>
      <c r="S49"/>
    </row>
    <row r="50" spans="3:19">
      <c r="C50" s="324" t="s">
        <v>10</v>
      </c>
      <c r="D50" s="329"/>
      <c r="E50" s="329" t="s">
        <v>27</v>
      </c>
      <c r="F50" s="329" t="s">
        <v>1265</v>
      </c>
      <c r="G50" s="191"/>
      <c r="H50" s="841"/>
      <c r="J50"/>
      <c r="K50"/>
      <c r="L50"/>
      <c r="M50"/>
      <c r="N50"/>
      <c r="O50"/>
      <c r="P50"/>
      <c r="Q50"/>
      <c r="R50"/>
      <c r="S50"/>
    </row>
    <row r="51" spans="3:19">
      <c r="C51" s="324" t="s">
        <v>11</v>
      </c>
      <c r="D51" s="329"/>
      <c r="E51" s="329" t="s">
        <v>28</v>
      </c>
      <c r="F51" s="329" t="s">
        <v>1283</v>
      </c>
      <c r="G51" s="191"/>
      <c r="H51" s="841"/>
      <c r="J51"/>
      <c r="K51"/>
      <c r="L51"/>
      <c r="M51"/>
      <c r="N51"/>
      <c r="O51"/>
      <c r="P51"/>
      <c r="Q51"/>
      <c r="R51"/>
      <c r="S51"/>
    </row>
    <row r="52" spans="3:19">
      <c r="C52" s="324" t="s">
        <v>1280</v>
      </c>
      <c r="D52" s="329"/>
      <c r="E52" s="329" t="s">
        <v>29</v>
      </c>
      <c r="G52" s="191"/>
      <c r="H52" s="841"/>
      <c r="J52"/>
      <c r="K52"/>
      <c r="L52"/>
      <c r="M52"/>
      <c r="N52"/>
      <c r="O52"/>
      <c r="P52"/>
      <c r="Q52"/>
      <c r="R52"/>
      <c r="S52"/>
    </row>
    <row r="53" spans="3:19">
      <c r="C53" s="324"/>
      <c r="D53" s="329"/>
      <c r="E53" s="329" t="s">
        <v>1282</v>
      </c>
      <c r="G53" s="191"/>
      <c r="H53" s="841"/>
      <c r="J53"/>
      <c r="K53"/>
      <c r="L53"/>
      <c r="M53"/>
      <c r="N53"/>
      <c r="O53"/>
      <c r="P53"/>
      <c r="Q53"/>
      <c r="R53"/>
      <c r="S53"/>
    </row>
    <row r="54" spans="3:19">
      <c r="C54" s="324"/>
      <c r="D54" s="329"/>
      <c r="E54" s="329"/>
      <c r="F54" s="329"/>
      <c r="G54" s="191"/>
      <c r="H54" s="841"/>
      <c r="J54"/>
      <c r="K54"/>
      <c r="L54"/>
      <c r="M54"/>
      <c r="N54"/>
      <c r="O54"/>
      <c r="P54"/>
      <c r="Q54"/>
      <c r="R54"/>
      <c r="S54"/>
    </row>
    <row r="55" spans="3:19">
      <c r="C55" s="324"/>
      <c r="D55" s="329"/>
      <c r="E55" s="329"/>
      <c r="F55" s="329"/>
      <c r="G55" s="191"/>
      <c r="H55" s="841"/>
      <c r="J55"/>
      <c r="K55"/>
      <c r="L55"/>
      <c r="M55"/>
      <c r="N55"/>
      <c r="O55"/>
      <c r="P55"/>
      <c r="Q55"/>
      <c r="R55"/>
      <c r="S55"/>
    </row>
    <row r="56" spans="3:19">
      <c r="C56" s="324"/>
      <c r="D56" s="329"/>
      <c r="E56" s="329"/>
      <c r="F56" s="329"/>
      <c r="G56" s="191"/>
      <c r="H56" s="841"/>
      <c r="J56"/>
      <c r="K56"/>
      <c r="L56"/>
      <c r="M56"/>
      <c r="N56"/>
      <c r="O56"/>
      <c r="P56"/>
      <c r="Q56"/>
      <c r="R56"/>
      <c r="S56"/>
    </row>
    <row r="57" spans="3:19">
      <c r="C57" s="324"/>
      <c r="D57" s="329"/>
      <c r="E57" s="329"/>
      <c r="F57" s="329"/>
      <c r="G57" s="191"/>
      <c r="H57" s="841"/>
      <c r="J57"/>
      <c r="K57"/>
      <c r="L57"/>
      <c r="M57"/>
      <c r="N57"/>
      <c r="O57"/>
      <c r="P57"/>
      <c r="Q57"/>
      <c r="R57"/>
      <c r="S57"/>
    </row>
    <row r="58" spans="3:19">
      <c r="C58" s="324"/>
      <c r="D58" s="329"/>
      <c r="E58" s="329"/>
      <c r="F58" s="329"/>
      <c r="G58" s="191"/>
      <c r="H58" s="841"/>
    </row>
    <row r="59" spans="3:19">
      <c r="C59" s="324"/>
      <c r="D59" s="329"/>
      <c r="E59" s="329"/>
      <c r="F59" s="329"/>
      <c r="G59" s="191"/>
      <c r="H59" s="841"/>
    </row>
    <row r="60" spans="3:19">
      <c r="C60" s="324"/>
      <c r="D60" s="329"/>
      <c r="E60" s="329"/>
      <c r="F60" s="329"/>
      <c r="G60" s="191"/>
      <c r="H60" s="841"/>
      <c r="P60" s="23" t="s">
        <v>50</v>
      </c>
      <c r="S60" s="23" t="s">
        <v>49</v>
      </c>
    </row>
    <row r="61" spans="3:19">
      <c r="C61" s="324"/>
      <c r="D61" s="329"/>
      <c r="E61" s="329"/>
      <c r="F61" s="329"/>
      <c r="G61" s="191"/>
      <c r="H61" s="841"/>
    </row>
    <row r="62" spans="3:19">
      <c r="C62" s="324"/>
      <c r="D62" s="329"/>
      <c r="E62" s="329"/>
      <c r="F62" s="329"/>
      <c r="G62" s="191"/>
      <c r="H62" s="841"/>
    </row>
    <row r="63" spans="3:19">
      <c r="C63" s="324"/>
      <c r="D63" s="329"/>
      <c r="E63" s="329"/>
      <c r="F63" s="329"/>
      <c r="G63" s="191"/>
      <c r="H63" s="841"/>
      <c r="P63" s="23" t="s">
        <v>52</v>
      </c>
      <c r="S63" s="23" t="s">
        <v>56</v>
      </c>
    </row>
    <row r="64" spans="3:19">
      <c r="C64" s="324"/>
      <c r="D64" s="329"/>
      <c r="E64" s="329"/>
      <c r="F64" s="329"/>
      <c r="G64" s="191"/>
      <c r="H64" s="841"/>
      <c r="P64" s="23" t="s">
        <v>53</v>
      </c>
      <c r="S64" s="23" t="s">
        <v>57</v>
      </c>
    </row>
    <row r="65" spans="3:19">
      <c r="C65" s="324"/>
      <c r="D65" s="329"/>
      <c r="E65" s="329"/>
      <c r="F65" s="329"/>
      <c r="G65" s="191"/>
      <c r="H65" s="841"/>
      <c r="P65" s="23" t="s">
        <v>54</v>
      </c>
      <c r="S65" s="23" t="s">
        <v>58</v>
      </c>
    </row>
    <row r="66" spans="3:19">
      <c r="C66" s="324"/>
      <c r="D66" s="329"/>
      <c r="E66" s="329"/>
      <c r="F66" s="329"/>
      <c r="G66" s="191"/>
      <c r="H66" s="841"/>
      <c r="P66" s="23" t="s">
        <v>55</v>
      </c>
      <c r="S66" s="23" t="s">
        <v>59</v>
      </c>
    </row>
    <row r="67" spans="3:19">
      <c r="C67" s="324"/>
      <c r="D67" s="329"/>
      <c r="E67" s="329"/>
      <c r="F67" s="329"/>
      <c r="G67" s="191"/>
      <c r="H67" s="841"/>
      <c r="P67" s="23" t="s">
        <v>60</v>
      </c>
    </row>
    <row r="68" spans="3:19">
      <c r="C68" s="324"/>
      <c r="D68" s="329"/>
      <c r="E68" s="329"/>
      <c r="F68" s="329"/>
      <c r="G68" s="191"/>
      <c r="H68" s="841"/>
    </row>
    <row r="69" spans="3:19">
      <c r="C69" s="324"/>
      <c r="D69" s="329"/>
      <c r="E69" s="329"/>
      <c r="F69" s="329"/>
      <c r="G69" s="191"/>
      <c r="H69" s="841"/>
    </row>
    <row r="70" spans="3:19">
      <c r="C70" s="324"/>
      <c r="D70" s="329"/>
      <c r="E70" s="329"/>
      <c r="F70" s="329"/>
      <c r="G70" s="191"/>
      <c r="H70" s="841"/>
    </row>
    <row r="71" spans="3:19">
      <c r="C71" s="324"/>
      <c r="D71" s="329"/>
      <c r="E71" s="329"/>
      <c r="F71" s="329"/>
      <c r="G71" s="191"/>
      <c r="H71" s="841"/>
    </row>
    <row r="72" spans="3:19">
      <c r="C72" s="324"/>
      <c r="D72" s="329"/>
      <c r="E72" s="329"/>
      <c r="F72" s="329"/>
      <c r="G72" s="191"/>
      <c r="H72" s="841"/>
    </row>
    <row r="73" spans="3:19">
      <c r="C73" s="324"/>
      <c r="D73" s="329"/>
      <c r="E73" s="329"/>
      <c r="F73" s="329"/>
      <c r="G73" s="191"/>
      <c r="H73" s="841"/>
    </row>
    <row r="74" spans="3:19">
      <c r="C74" s="324"/>
      <c r="D74" s="329"/>
      <c r="E74" s="329"/>
      <c r="F74" s="329"/>
      <c r="G74" s="191"/>
      <c r="H74" s="841"/>
    </row>
    <row r="75" spans="3:19">
      <c r="C75" s="324"/>
      <c r="D75" s="329"/>
      <c r="E75" s="329"/>
      <c r="F75" s="329"/>
      <c r="G75" s="191"/>
      <c r="H75" s="841"/>
    </row>
    <row r="76" spans="3:19">
      <c r="C76" s="324"/>
      <c r="D76" s="329"/>
      <c r="E76" s="329"/>
      <c r="F76" s="329"/>
      <c r="G76" s="191"/>
      <c r="H76" s="841"/>
    </row>
    <row r="77" spans="3:19">
      <c r="C77" s="324"/>
      <c r="D77" s="329"/>
      <c r="E77" s="329"/>
      <c r="F77" s="329"/>
      <c r="G77" s="191"/>
      <c r="H77" s="841"/>
    </row>
    <row r="78" spans="3:19">
      <c r="C78" s="324"/>
      <c r="D78" s="329"/>
      <c r="E78" s="329"/>
      <c r="F78" s="329"/>
      <c r="G78" s="191"/>
      <c r="H78" s="841"/>
    </row>
    <row r="79" spans="3:19">
      <c r="C79" s="324"/>
      <c r="D79" s="329"/>
      <c r="E79" s="329"/>
      <c r="F79" s="329"/>
      <c r="G79" s="191"/>
      <c r="H79" s="841"/>
    </row>
    <row r="80" spans="3:19" ht="15" thickBot="1">
      <c r="C80" s="401"/>
      <c r="D80" s="138"/>
      <c r="E80" s="138"/>
      <c r="F80" s="138"/>
      <c r="G80" s="194"/>
      <c r="H80" s="841"/>
    </row>
    <row r="81" spans="8:8" ht="15" thickTop="1">
      <c r="H81" s="841"/>
    </row>
    <row r="82" spans="8:8">
      <c r="H82" s="841"/>
    </row>
    <row r="83" spans="8:8">
      <c r="H83" s="841"/>
    </row>
    <row r="84" spans="8:8">
      <c r="H84" s="841"/>
    </row>
    <row r="85" spans="8:8">
      <c r="H85" s="841"/>
    </row>
    <row r="86" spans="8:8">
      <c r="H86" s="841"/>
    </row>
    <row r="87" spans="8:8">
      <c r="H87" s="841"/>
    </row>
    <row r="88" spans="8:8">
      <c r="H88" s="841"/>
    </row>
    <row r="89" spans="8:8">
      <c r="H89" s="841"/>
    </row>
    <row r="90" spans="8:8">
      <c r="H90" s="841"/>
    </row>
    <row r="91" spans="8:8">
      <c r="H91" s="841"/>
    </row>
    <row r="92" spans="8:8">
      <c r="H92" s="841"/>
    </row>
    <row r="93" spans="8:8">
      <c r="H93" s="841"/>
    </row>
    <row r="94" spans="8:8">
      <c r="H94" s="841"/>
    </row>
    <row r="95" spans="8:8">
      <c r="H95" s="841"/>
    </row>
    <row r="96" spans="8:8">
      <c r="H96" s="841"/>
    </row>
    <row r="97" spans="2:8">
      <c r="H97" s="841"/>
    </row>
    <row r="98" spans="2:8">
      <c r="H98" s="841"/>
    </row>
    <row r="99" spans="2:8">
      <c r="H99" s="841"/>
    </row>
    <row r="100" spans="2:8">
      <c r="H100" s="841"/>
    </row>
    <row r="101" spans="2:8">
      <c r="H101" s="841"/>
    </row>
    <row r="102" spans="2:8" ht="18.899999999999999" thickBot="1">
      <c r="C102" s="525" t="s">
        <v>788</v>
      </c>
      <c r="D102" s="525" t="s">
        <v>799</v>
      </c>
      <c r="E102" s="525" t="s">
        <v>798</v>
      </c>
      <c r="F102" s="525" t="s">
        <v>797</v>
      </c>
      <c r="G102" s="525" t="s">
        <v>796</v>
      </c>
      <c r="H102" s="841"/>
    </row>
    <row r="103" spans="2:8" ht="15" thickTop="1">
      <c r="C103" s="521" t="s">
        <v>199</v>
      </c>
      <c r="D103" s="522" t="s">
        <v>200</v>
      </c>
      <c r="E103" s="522" t="s">
        <v>201</v>
      </c>
      <c r="F103" s="522" t="s">
        <v>202</v>
      </c>
      <c r="G103" s="889" t="s">
        <v>203</v>
      </c>
      <c r="H103" s="841"/>
    </row>
    <row r="104" spans="2:8">
      <c r="B104" s="529"/>
      <c r="C104" s="324" t="s">
        <v>1</v>
      </c>
      <c r="D104" s="329" t="s">
        <v>41</v>
      </c>
      <c r="E104" s="329" t="s">
        <v>2</v>
      </c>
      <c r="F104" s="329" t="s">
        <v>3</v>
      </c>
      <c r="G104" s="191" t="s">
        <v>186</v>
      </c>
      <c r="H104" s="841"/>
    </row>
    <row r="105" spans="2:8">
      <c r="B105" s="529"/>
      <c r="C105" s="324" t="s">
        <v>4</v>
      </c>
      <c r="D105" s="329" t="s">
        <v>15</v>
      </c>
      <c r="E105" s="329" t="s">
        <v>17</v>
      </c>
      <c r="F105" s="329" t="s">
        <v>31</v>
      </c>
      <c r="G105" s="191" t="s">
        <v>191</v>
      </c>
      <c r="H105" s="841"/>
    </row>
    <row r="106" spans="2:8">
      <c r="C106" s="324" t="s">
        <v>12</v>
      </c>
      <c r="D106" s="329" t="s">
        <v>16</v>
      </c>
      <c r="E106" s="329" t="s">
        <v>18</v>
      </c>
      <c r="F106" s="329" t="s">
        <v>32</v>
      </c>
      <c r="G106" s="191" t="s">
        <v>190</v>
      </c>
      <c r="H106" s="841"/>
    </row>
    <row r="107" spans="2:8">
      <c r="C107" s="324" t="s">
        <v>13</v>
      </c>
      <c r="D107" s="329" t="s">
        <v>183</v>
      </c>
      <c r="E107" s="329" t="s">
        <v>19</v>
      </c>
      <c r="F107" s="329" t="s">
        <v>30</v>
      </c>
      <c r="G107" s="191" t="s">
        <v>187</v>
      </c>
      <c r="H107" s="841"/>
    </row>
    <row r="108" spans="2:8">
      <c r="C108" s="324" t="s">
        <v>14</v>
      </c>
      <c r="D108" s="329"/>
      <c r="E108" s="329" t="s">
        <v>20</v>
      </c>
      <c r="F108" s="329" t="s">
        <v>33</v>
      </c>
      <c r="G108" s="191" t="s">
        <v>188</v>
      </c>
      <c r="H108" s="841"/>
    </row>
    <row r="109" spans="2:8">
      <c r="C109" s="324" t="s">
        <v>5</v>
      </c>
      <c r="D109" s="329"/>
      <c r="E109" s="329" t="s">
        <v>21</v>
      </c>
      <c r="F109" s="329" t="s">
        <v>34</v>
      </c>
      <c r="G109" s="191" t="s">
        <v>189</v>
      </c>
      <c r="H109" s="841"/>
    </row>
    <row r="110" spans="2:8">
      <c r="C110" s="324" t="s">
        <v>6</v>
      </c>
      <c r="D110" s="329"/>
      <c r="E110" s="329" t="s">
        <v>22</v>
      </c>
      <c r="F110" s="329" t="s">
        <v>35</v>
      </c>
      <c r="G110" s="191" t="s">
        <v>195</v>
      </c>
      <c r="H110" s="841"/>
    </row>
    <row r="111" spans="2:8">
      <c r="C111" s="324" t="s">
        <v>7</v>
      </c>
      <c r="D111" s="329"/>
      <c r="E111" s="329" t="s">
        <v>23</v>
      </c>
      <c r="F111" s="329" t="s">
        <v>36</v>
      </c>
      <c r="G111" s="191"/>
      <c r="H111" s="841"/>
    </row>
    <row r="112" spans="2:8">
      <c r="C112" s="324" t="s">
        <v>8</v>
      </c>
      <c r="D112" s="329"/>
      <c r="E112" s="329" t="s">
        <v>24</v>
      </c>
      <c r="F112" s="329" t="s">
        <v>37</v>
      </c>
      <c r="G112" s="191"/>
      <c r="H112" s="841"/>
    </row>
    <row r="113" spans="3:19">
      <c r="C113" s="324" t="s">
        <v>9</v>
      </c>
      <c r="D113" s="329"/>
      <c r="E113" s="329" t="s">
        <v>25</v>
      </c>
      <c r="F113" s="329" t="s">
        <v>116</v>
      </c>
      <c r="G113" s="191"/>
      <c r="H113" s="841"/>
    </row>
    <row r="114" spans="3:19">
      <c r="C114" s="324" t="s">
        <v>10</v>
      </c>
      <c r="D114" s="329"/>
      <c r="E114" s="329" t="s">
        <v>26</v>
      </c>
      <c r="F114" s="329" t="s">
        <v>38</v>
      </c>
      <c r="G114" s="191"/>
      <c r="H114" s="841"/>
    </row>
    <row r="115" spans="3:19">
      <c r="C115" s="324" t="s">
        <v>11</v>
      </c>
      <c r="D115" s="329"/>
      <c r="E115" s="329" t="s">
        <v>27</v>
      </c>
      <c r="F115" s="329" t="s">
        <v>39</v>
      </c>
      <c r="G115" s="191"/>
      <c r="H115" s="841"/>
    </row>
    <row r="116" spans="3:19">
      <c r="C116" s="324" t="s">
        <v>182</v>
      </c>
      <c r="D116" s="329"/>
      <c r="E116" s="329" t="s">
        <v>28</v>
      </c>
      <c r="F116" s="329" t="s">
        <v>40</v>
      </c>
      <c r="G116" s="191"/>
      <c r="H116" s="841"/>
    </row>
    <row r="117" spans="3:19">
      <c r="C117" s="324"/>
      <c r="D117" s="329"/>
      <c r="E117" s="329" t="s">
        <v>29</v>
      </c>
      <c r="F117" s="329" t="s">
        <v>185</v>
      </c>
      <c r="G117" s="191"/>
      <c r="H117" s="841"/>
    </row>
    <row r="118" spans="3:19">
      <c r="C118" s="324"/>
      <c r="D118" s="329"/>
      <c r="E118" s="329" t="s">
        <v>26</v>
      </c>
      <c r="F118" s="329"/>
      <c r="G118" s="191"/>
      <c r="H118" s="841"/>
    </row>
    <row r="119" spans="3:19">
      <c r="C119" s="324"/>
      <c r="D119" s="329"/>
      <c r="E119" s="329" t="s">
        <v>184</v>
      </c>
      <c r="F119" s="329"/>
      <c r="G119" s="191"/>
      <c r="H119" s="841"/>
    </row>
    <row r="120" spans="3:19">
      <c r="C120" s="324"/>
      <c r="D120" s="329"/>
      <c r="E120" s="329"/>
      <c r="F120" s="329"/>
      <c r="G120" s="191"/>
      <c r="H120" s="841"/>
    </row>
    <row r="121" spans="3:19">
      <c r="C121" s="324"/>
      <c r="D121" s="329"/>
      <c r="E121" s="329"/>
      <c r="F121" s="329"/>
      <c r="G121" s="191"/>
      <c r="H121" s="841"/>
    </row>
    <row r="122" spans="3:19">
      <c r="C122" s="324"/>
      <c r="D122" s="329"/>
      <c r="E122" s="329"/>
      <c r="F122" s="329"/>
      <c r="G122" s="191"/>
      <c r="H122" s="841"/>
    </row>
    <row r="123" spans="3:19">
      <c r="C123" s="324"/>
      <c r="D123" s="329"/>
      <c r="E123" s="329"/>
      <c r="F123" s="329"/>
      <c r="G123" s="191"/>
      <c r="H123" s="841"/>
    </row>
    <row r="124" spans="3:19">
      <c r="C124" s="324"/>
      <c r="D124" s="329"/>
      <c r="E124" s="329"/>
      <c r="F124" s="329"/>
      <c r="G124" s="191"/>
      <c r="H124" s="841"/>
    </row>
    <row r="125" spans="3:19">
      <c r="C125" s="324"/>
      <c r="D125" s="329"/>
      <c r="E125" s="329"/>
      <c r="F125" s="329"/>
      <c r="G125" s="191"/>
      <c r="H125" s="841"/>
    </row>
    <row r="126" spans="3:19">
      <c r="C126" s="324"/>
      <c r="D126" s="329"/>
      <c r="E126" s="329"/>
      <c r="F126" s="329"/>
      <c r="G126" s="191"/>
      <c r="H126" s="841"/>
    </row>
    <row r="127" spans="3:19">
      <c r="C127" s="324"/>
      <c r="D127" s="329"/>
      <c r="E127" s="329"/>
      <c r="F127" s="329"/>
      <c r="G127" s="191"/>
      <c r="H127" s="841"/>
    </row>
    <row r="128" spans="3:19">
      <c r="C128" s="324"/>
      <c r="D128" s="329"/>
      <c r="E128" s="329"/>
      <c r="F128" s="329"/>
      <c r="G128" s="191"/>
      <c r="H128" s="841"/>
      <c r="P128" s="23" t="s">
        <v>81</v>
      </c>
      <c r="S128" s="23" t="s">
        <v>105</v>
      </c>
    </row>
    <row r="129" spans="3:20">
      <c r="C129" s="324"/>
      <c r="D129" s="329"/>
      <c r="E129" s="329"/>
      <c r="F129" s="329"/>
      <c r="G129" s="191"/>
      <c r="H129" s="841"/>
      <c r="P129" s="23" t="s">
        <v>82</v>
      </c>
      <c r="S129" s="23" t="s">
        <v>106</v>
      </c>
    </row>
    <row r="130" spans="3:20">
      <c r="C130" s="324"/>
      <c r="D130" s="329"/>
      <c r="E130" s="329"/>
      <c r="F130" s="329"/>
      <c r="G130" s="191"/>
      <c r="H130" s="841"/>
      <c r="P130" s="23" t="s">
        <v>83</v>
      </c>
      <c r="S130" s="23" t="s">
        <v>107</v>
      </c>
    </row>
    <row r="131" spans="3:20">
      <c r="C131" s="324"/>
      <c r="D131" s="329"/>
      <c r="E131" s="329"/>
      <c r="F131" s="329"/>
      <c r="G131" s="191"/>
      <c r="H131" s="841"/>
      <c r="S131" s="23" t="s">
        <v>108</v>
      </c>
      <c r="T131" s="23" t="s">
        <v>113</v>
      </c>
    </row>
    <row r="132" spans="3:20">
      <c r="C132" s="324"/>
      <c r="D132" s="329"/>
      <c r="E132" s="329"/>
      <c r="F132" s="329"/>
      <c r="G132" s="191"/>
      <c r="H132" s="841"/>
      <c r="P132" s="23" t="s">
        <v>85</v>
      </c>
      <c r="S132" s="23" t="s">
        <v>109</v>
      </c>
      <c r="T132" s="23" t="s">
        <v>114</v>
      </c>
    </row>
    <row r="133" spans="3:20">
      <c r="C133" s="324"/>
      <c r="D133" s="329"/>
      <c r="E133" s="329"/>
      <c r="F133" s="329"/>
      <c r="G133" s="191"/>
      <c r="H133" s="841"/>
      <c r="P133" s="23" t="s">
        <v>84</v>
      </c>
      <c r="S133" s="23" t="s">
        <v>110</v>
      </c>
      <c r="T133" s="23" t="s">
        <v>115</v>
      </c>
    </row>
    <row r="134" spans="3:20">
      <c r="C134" s="324"/>
      <c r="D134" s="329"/>
      <c r="E134" s="329"/>
      <c r="F134" s="329"/>
      <c r="G134" s="191"/>
      <c r="H134" s="841"/>
      <c r="S134" s="23" t="s">
        <v>111</v>
      </c>
      <c r="T134" s="23" t="s">
        <v>112</v>
      </c>
    </row>
    <row r="135" spans="3:20">
      <c r="C135" s="324"/>
      <c r="D135" s="329"/>
      <c r="E135" s="329"/>
      <c r="F135" s="329"/>
      <c r="G135" s="191"/>
      <c r="H135" s="841"/>
      <c r="P135" s="23" t="s">
        <v>87</v>
      </c>
    </row>
    <row r="136" spans="3:20">
      <c r="C136" s="324"/>
      <c r="D136" s="329"/>
      <c r="E136" s="329"/>
      <c r="F136" s="329"/>
      <c r="G136" s="191"/>
      <c r="H136" s="841"/>
      <c r="P136" s="23" t="s">
        <v>86</v>
      </c>
    </row>
    <row r="137" spans="3:20">
      <c r="C137" s="324"/>
      <c r="D137" s="329"/>
      <c r="E137" s="329"/>
      <c r="F137" s="329"/>
      <c r="G137" s="191"/>
      <c r="H137" s="841"/>
    </row>
    <row r="138" spans="3:20">
      <c r="C138" s="324"/>
      <c r="D138" s="329"/>
      <c r="E138" s="329"/>
      <c r="F138" s="329"/>
      <c r="G138" s="191"/>
      <c r="H138" s="841"/>
      <c r="P138" s="23" t="s">
        <v>89</v>
      </c>
    </row>
    <row r="139" spans="3:20">
      <c r="C139" s="324"/>
      <c r="D139" s="329"/>
      <c r="E139" s="329"/>
      <c r="F139" s="329"/>
      <c r="G139" s="191"/>
      <c r="H139" s="841"/>
      <c r="P139" s="23" t="s">
        <v>88</v>
      </c>
    </row>
    <row r="140" spans="3:20">
      <c r="C140" s="324"/>
      <c r="D140" s="329"/>
      <c r="E140" s="329"/>
      <c r="F140" s="329"/>
      <c r="G140" s="191"/>
      <c r="H140" s="841"/>
    </row>
    <row r="141" spans="3:20">
      <c r="C141" s="324"/>
      <c r="D141" s="329"/>
      <c r="E141" s="329"/>
      <c r="F141" s="329"/>
      <c r="G141" s="191"/>
      <c r="H141" s="841"/>
    </row>
    <row r="142" spans="3:20">
      <c r="C142" s="324"/>
      <c r="D142" s="329"/>
      <c r="E142" s="329"/>
      <c r="F142" s="329"/>
      <c r="G142" s="191"/>
      <c r="H142" s="841"/>
    </row>
    <row r="143" spans="3:20">
      <c r="C143" s="324"/>
      <c r="D143" s="329"/>
      <c r="E143" s="329"/>
      <c r="F143" s="329"/>
      <c r="G143" s="191"/>
      <c r="H143" s="841"/>
    </row>
    <row r="144" spans="3:20" ht="15" thickBot="1">
      <c r="C144" s="401"/>
      <c r="D144" s="138"/>
      <c r="E144" s="138"/>
      <c r="F144" s="138"/>
      <c r="G144" s="194"/>
      <c r="H144" s="141"/>
    </row>
    <row r="145" ht="15" thickTop="1"/>
  </sheetData>
  <mergeCells count="7">
    <mergeCell ref="C16:H16"/>
    <mergeCell ref="C17:H17"/>
    <mergeCell ref="C11:H11"/>
    <mergeCell ref="C15:H15"/>
    <mergeCell ref="C12:H12"/>
    <mergeCell ref="C13:H13"/>
    <mergeCell ref="C14:H14"/>
  </mergeCells>
  <dataValidations count="4">
    <dataValidation type="list" allowBlank="1" showInputMessage="1" showErrorMessage="1" promptTitle="Undefined" sqref="P47" xr:uid="{00000000-0002-0000-0B00-000000000000}">
      <formula1>$C$8:$G$8</formula1>
    </dataValidation>
    <dataValidation type="list" allowBlank="1" showInputMessage="1" showErrorMessage="1" promptTitle="Undefined" sqref="C2" xr:uid="{00000000-0002-0000-0B00-000001000000}">
      <formula1>B17:B33</formula1>
    </dataValidation>
    <dataValidation type="list" allowBlank="1" showInputMessage="1" showErrorMessage="1" sqref="Q47" xr:uid="{00000000-0002-0000-0B00-000002000000}">
      <formula1>OFFSET($C$8,1,MATCH($P$47,$C$8:$G$8,0)-1,COUNTA(OFFSET($C$8,1,MATCH($P$47,$C$8:$G$8,0)-1,40,1)),1)</formula1>
    </dataValidation>
    <dataValidation type="list" allowBlank="1" showErrorMessage="1" sqref="D2" xr:uid="{00000000-0002-0000-0B00-000003000000}">
      <formula1>OFFSET( $C$40, 1,   MATCH(#REF!, C$40:$G45, 0)-1,COUNTA(   OFFSET(      $C$40,1,  MATCH(#REF!, C$40:$G45, 0)  -1,   40, 1 ) ), 1)</formula1>
    </dataValidation>
  </dataValidations>
  <hyperlinks>
    <hyperlink ref="P60" r:id="rId1" xr:uid="{00000000-0004-0000-0B00-000000000000}"/>
    <hyperlink ref="S60" r:id="rId2" xr:uid="{00000000-0004-0000-0B00-000001000000}"/>
    <hyperlink ref="P128" r:id="rId3" xr:uid="{00000000-0004-0000-0B00-000002000000}"/>
    <hyperlink ref="P132" r:id="rId4" xr:uid="{00000000-0004-0000-0B00-000003000000}"/>
    <hyperlink ref="P136" r:id="rId5" tooltip="Fomat Cell Based on Value of Another Cell in Excel" display="https://www.youtube.com/watch?v=jOuWsIVsd8Q" xr:uid="{00000000-0004-0000-0B00-000004000000}"/>
    <hyperlink ref="P135" r:id="rId6" xr:uid="{00000000-0004-0000-0B00-000005000000}"/>
    <hyperlink ref="P138" r:id="rId7" xr:uid="{00000000-0004-0000-0B00-000006000000}"/>
    <hyperlink ref="S128" r:id="rId8" xr:uid="{00000000-0004-0000-0B00-000007000000}"/>
  </hyperlinks>
  <pageMargins left="0.7" right="0.7" top="0.75" bottom="0.75" header="0.3" footer="0.3"/>
  <pageSetup orientation="portrait" r:id="rId9"/>
  <drawing r:id="rId10"/>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2">
    <tabColor rgb="FFFFC000"/>
  </sheetPr>
  <dimension ref="A1:Z61"/>
  <sheetViews>
    <sheetView workbookViewId="0">
      <selection activeCell="D20" sqref="D20"/>
    </sheetView>
  </sheetViews>
  <sheetFormatPr defaultRowHeight="14.6"/>
  <cols>
    <col min="2" max="2" width="10.69140625" customWidth="1"/>
    <col min="3" max="7" width="24.69140625" customWidth="1"/>
    <col min="8" max="10" width="20.69140625" customWidth="1"/>
    <col min="11" max="11" width="157.15234375" customWidth="1"/>
    <col min="12" max="13" width="20.69140625" customWidth="1"/>
    <col min="14" max="16" width="24.69140625" customWidth="1"/>
    <col min="26" max="26" width="19" customWidth="1"/>
  </cols>
  <sheetData>
    <row r="1" spans="1:12" ht="15" thickBot="1"/>
    <row r="2" spans="1:12" ht="76.5" customHeight="1" thickTop="1">
      <c r="C2" s="2271" t="str">
        <f>VLOOKUP($C$7,$C$30:$G$35,5,FALSE)</f>
        <v>Description:
The adversary has limited resources, expertise, and opportunities to support a successful attack.</v>
      </c>
      <c r="D2" s="2272"/>
      <c r="F2" s="2282" t="str">
        <f>VLOOKUP(Work!$O$8,'D3'!C30:G35,5,FALSE)</f>
        <v>Description:
The adversary has a sophisticated level of expertise, with significant resources and opportunities to support multiple successful coordinated attacks.</v>
      </c>
      <c r="G2" s="2283"/>
      <c r="H2" s="2284"/>
    </row>
    <row r="3" spans="1:12" ht="16.5" customHeight="1" thickBot="1">
      <c r="C3" s="2273"/>
      <c r="D3" s="2274"/>
      <c r="F3" s="1279"/>
      <c r="H3" s="1280"/>
      <c r="J3" s="2285" t="s">
        <v>1693</v>
      </c>
      <c r="K3" s="2286"/>
      <c r="L3" s="2287"/>
    </row>
    <row r="4" spans="1:12" ht="15" thickBot="1">
      <c r="C4" s="2275"/>
      <c r="D4" s="2276"/>
      <c r="F4" s="2279" t="str">
        <f>IF(InScope="Yes", IF(SmeRatingD3,"D3_Error: Click for Mean Value or Redo SME Rating",""), "Out of Scope")</f>
        <v>Out of Scope</v>
      </c>
      <c r="G4" s="2280"/>
      <c r="H4" s="2281"/>
    </row>
    <row r="5" spans="1:12" ht="15" thickBot="1">
      <c r="C5" s="2277" t="str">
        <f>IF(SME_Rating_D3,"D3_Error: Click for Mean Value or Redo SME Rating","")</f>
        <v/>
      </c>
      <c r="D5" s="2278"/>
      <c r="F5" s="1279"/>
      <c r="H5" s="1280"/>
    </row>
    <row r="6" spans="1:12" ht="15.45" thickTop="1" thickBot="1">
      <c r="C6" s="44" t="s">
        <v>133</v>
      </c>
      <c r="D6" s="51" t="s">
        <v>135</v>
      </c>
      <c r="F6" s="1279"/>
      <c r="H6" s="1538" t="s">
        <v>177</v>
      </c>
      <c r="J6" s="1538" t="s">
        <v>177</v>
      </c>
    </row>
    <row r="7" spans="1:12" ht="15.45" thickTop="1" thickBot="1">
      <c r="B7" s="534"/>
      <c r="C7" s="36" t="s">
        <v>130</v>
      </c>
      <c r="D7" s="53">
        <v>13</v>
      </c>
      <c r="F7" s="1540" t="s">
        <v>2024</v>
      </c>
      <c r="G7" s="1539" t="s">
        <v>1692</v>
      </c>
      <c r="H7" s="1541">
        <f>IF(InScope, IF( OR(NOT(Adversarial),(Work!$O$8='D3'!$C$30) ),"N/A",VALUE(CONCATENATE("0",IF(Work!$O$8='D3'!$C$31,3,""),IF(Work!$O$8='D3'!$C$32,13,""),IF(Work!$O$8='D3'!$C$33,51,""),IF(Work!$O$8='D3'!$C$34,88,""),IF(Work!$O$8='D3'!$C$35,98,"")))), "Out of Scope")</f>
        <v>88</v>
      </c>
      <c r="J7" s="1541">
        <f>IF(InScope, IF( OR(NOT(Adversarial),(Work!$O$8='D3'!$C$30) ),"N/A",VALUE(CONCATENATE("0",IF(Work!$O$8='D3'!$C$31,3,""),IF(Work!$O$8='D3'!$C$32,13,""),IF(Work!$O$8='D3'!$C$33,51,""),IF(Work!$O$8='D3'!$C$34,88,""),IF(Work!$O$8='D3'!$C$35,98,"")))), "Out of Scope")</f>
        <v>88</v>
      </c>
    </row>
    <row r="8" spans="1:12" ht="15" thickTop="1">
      <c r="F8" s="1279"/>
      <c r="H8" s="1783" t="str">
        <f>IF(InScope, "","Out of Scope")</f>
        <v/>
      </c>
      <c r="J8" s="1783" t="str">
        <f>IF(InScope, "","Out of Scope")</f>
        <v/>
      </c>
    </row>
    <row r="9" spans="1:12">
      <c r="A9">
        <v>1</v>
      </c>
      <c r="B9" s="1975">
        <v>1</v>
      </c>
      <c r="F9" s="1279"/>
      <c r="G9" s="1935"/>
      <c r="H9" s="1280"/>
    </row>
    <row r="10" spans="1:12" ht="15" thickBot="1">
      <c r="A10">
        <f>1+A9</f>
        <v>2</v>
      </c>
      <c r="B10" s="1975">
        <f>1+B9</f>
        <v>2</v>
      </c>
      <c r="F10" s="1279"/>
      <c r="H10" s="1280"/>
    </row>
    <row r="11" spans="1:12" ht="15" thickTop="1">
      <c r="A11">
        <f t="shared" ref="A11:A28" si="0">1+A10</f>
        <v>3</v>
      </c>
      <c r="B11" s="1975">
        <f t="shared" ref="B11:B28" si="1">1+B10</f>
        <v>3</v>
      </c>
      <c r="F11" s="1277"/>
      <c r="G11" s="1277"/>
      <c r="H11" s="1277"/>
    </row>
    <row r="12" spans="1:12">
      <c r="A12">
        <f t="shared" si="0"/>
        <v>4</v>
      </c>
      <c r="B12" s="1975">
        <f t="shared" si="1"/>
        <v>4</v>
      </c>
      <c r="F12" s="1935"/>
      <c r="G12" s="1935"/>
      <c r="H12" s="1935"/>
    </row>
    <row r="13" spans="1:12">
      <c r="A13">
        <f t="shared" si="0"/>
        <v>5</v>
      </c>
      <c r="B13" s="1975">
        <f t="shared" si="1"/>
        <v>5</v>
      </c>
      <c r="F13" s="1935"/>
      <c r="G13" s="1935"/>
      <c r="H13" s="1935"/>
    </row>
    <row r="14" spans="1:12">
      <c r="A14">
        <f t="shared" si="0"/>
        <v>6</v>
      </c>
      <c r="B14" s="1975">
        <f t="shared" si="1"/>
        <v>6</v>
      </c>
      <c r="F14" s="1935"/>
      <c r="G14" s="1935"/>
      <c r="H14" s="1935"/>
    </row>
    <row r="15" spans="1:12">
      <c r="A15">
        <f t="shared" si="0"/>
        <v>7</v>
      </c>
      <c r="B15" s="1975">
        <f t="shared" si="1"/>
        <v>7</v>
      </c>
      <c r="F15" s="1935"/>
      <c r="G15" s="1935"/>
      <c r="H15" s="1935"/>
    </row>
    <row r="16" spans="1:12">
      <c r="A16">
        <f t="shared" si="0"/>
        <v>8</v>
      </c>
      <c r="B16" s="1975">
        <f t="shared" si="1"/>
        <v>8</v>
      </c>
      <c r="F16" s="1935"/>
      <c r="G16" s="1935"/>
      <c r="H16" s="1935"/>
    </row>
    <row r="17" spans="1:26">
      <c r="A17">
        <f t="shared" si="0"/>
        <v>9</v>
      </c>
      <c r="B17" s="1975">
        <f t="shared" si="1"/>
        <v>9</v>
      </c>
      <c r="F17" s="1935"/>
      <c r="G17" s="1935"/>
      <c r="H17" s="1935"/>
    </row>
    <row r="18" spans="1:26">
      <c r="A18">
        <f t="shared" si="0"/>
        <v>10</v>
      </c>
      <c r="B18" s="1975">
        <f t="shared" si="1"/>
        <v>10</v>
      </c>
      <c r="F18" s="1935"/>
      <c r="G18" s="1935"/>
      <c r="H18" s="1935"/>
    </row>
    <row r="19" spans="1:26">
      <c r="A19">
        <f t="shared" si="0"/>
        <v>11</v>
      </c>
      <c r="B19" s="1975">
        <f t="shared" si="1"/>
        <v>11</v>
      </c>
      <c r="F19" s="1935"/>
      <c r="G19" s="1935"/>
      <c r="H19" s="1935"/>
    </row>
    <row r="20" spans="1:26">
      <c r="A20">
        <f t="shared" si="0"/>
        <v>12</v>
      </c>
      <c r="B20" s="1975">
        <f t="shared" si="1"/>
        <v>12</v>
      </c>
      <c r="F20" s="1935"/>
      <c r="G20" s="1935"/>
      <c r="H20" s="1935"/>
    </row>
    <row r="21" spans="1:26">
      <c r="A21">
        <f t="shared" si="0"/>
        <v>13</v>
      </c>
      <c r="B21" s="1975">
        <f t="shared" si="1"/>
        <v>13</v>
      </c>
      <c r="F21" s="1935"/>
      <c r="G21" s="1935"/>
      <c r="H21" s="1935"/>
    </row>
    <row r="22" spans="1:26">
      <c r="A22">
        <f t="shared" si="0"/>
        <v>14</v>
      </c>
      <c r="B22" s="1975">
        <f t="shared" si="1"/>
        <v>14</v>
      </c>
      <c r="F22" s="1935"/>
      <c r="G22" s="1935"/>
      <c r="H22" s="1935"/>
    </row>
    <row r="23" spans="1:26">
      <c r="A23">
        <f t="shared" si="0"/>
        <v>15</v>
      </c>
      <c r="B23" s="1975">
        <f t="shared" si="1"/>
        <v>15</v>
      </c>
      <c r="F23" s="1935"/>
      <c r="G23" s="1935"/>
      <c r="H23" s="1935"/>
    </row>
    <row r="24" spans="1:26">
      <c r="A24">
        <f t="shared" si="0"/>
        <v>16</v>
      </c>
      <c r="B24" s="1975">
        <f t="shared" si="1"/>
        <v>16</v>
      </c>
      <c r="F24" s="1935"/>
      <c r="G24" s="1935"/>
      <c r="H24" s="1935"/>
    </row>
    <row r="25" spans="1:26">
      <c r="A25">
        <f t="shared" si="0"/>
        <v>17</v>
      </c>
      <c r="B25" s="1975">
        <f t="shared" si="1"/>
        <v>17</v>
      </c>
    </row>
    <row r="26" spans="1:26">
      <c r="A26">
        <f t="shared" si="0"/>
        <v>18</v>
      </c>
      <c r="B26" s="1975">
        <f t="shared" si="1"/>
        <v>18</v>
      </c>
      <c r="C26" s="45"/>
    </row>
    <row r="27" spans="1:26">
      <c r="A27">
        <f t="shared" si="0"/>
        <v>19</v>
      </c>
      <c r="B27" s="1975">
        <f t="shared" si="1"/>
        <v>19</v>
      </c>
    </row>
    <row r="28" spans="1:26" ht="15" thickBot="1">
      <c r="A28">
        <f t="shared" si="0"/>
        <v>20</v>
      </c>
      <c r="B28" s="1975">
        <f t="shared" si="1"/>
        <v>20</v>
      </c>
    </row>
    <row r="29" spans="1:26" ht="15.45" thickTop="1" thickBot="1">
      <c r="C29" s="61" t="s">
        <v>48</v>
      </c>
      <c r="D29" s="62" t="s">
        <v>103</v>
      </c>
      <c r="E29" s="62" t="s">
        <v>104</v>
      </c>
      <c r="F29" s="62" t="s">
        <v>117</v>
      </c>
      <c r="G29" s="55" t="s">
        <v>102</v>
      </c>
      <c r="H29" s="64"/>
      <c r="I29" s="64"/>
      <c r="J29" s="64"/>
      <c r="K29" s="22"/>
      <c r="Z29" s="101" t="s">
        <v>177</v>
      </c>
    </row>
    <row r="30" spans="1:26" ht="32.15" customHeight="1" thickTop="1" thickBot="1">
      <c r="A30" s="23"/>
      <c r="B30" s="38"/>
      <c r="C30" s="1778" t="str">
        <f>IF(Adversarial, IF(InScope,  "-1       Help (n/a)", "Out of Scope"), "N/A")</f>
        <v>-1       Help (n/a)</v>
      </c>
      <c r="D30" s="21">
        <v>-3</v>
      </c>
      <c r="E30" s="21">
        <v>-1</v>
      </c>
      <c r="F30" s="21">
        <v>-2</v>
      </c>
      <c r="G30" s="2292" t="s">
        <v>1827</v>
      </c>
      <c r="H30" s="2293"/>
      <c r="I30" s="2293"/>
      <c r="J30" s="2293"/>
      <c r="K30" s="2294"/>
      <c r="Y30" s="532" t="s">
        <v>789</v>
      </c>
      <c r="Z30" s="20">
        <f>IF( OR(NOT(Adversarial),(Work!$O$8='D3'!$C$30) ),"n/a",VALUE(CONCATENATE("0",IF(Work!$O$8='D3'!$C$31,3,""),IF(Work!$O$8='D3'!$C$32,13,""),IF(Work!$O$8='D3'!$C$33,51,""),IF(Work!$O$8='D3'!$C$34,88,""),IF(Work!$O$8='D3'!$C$35,98,""))))</f>
        <v>88</v>
      </c>
    </row>
    <row r="31" spans="1:26" ht="32.15" customHeight="1" thickTop="1">
      <c r="A31" s="23"/>
      <c r="B31" s="38"/>
      <c r="C31" s="1779" t="str">
        <f>IF(InScope, IF(Adversarial,"0-4+    (Very Low)", "N/A"), "Out of Scope")</f>
        <v>0-4+    (Very Low)</v>
      </c>
      <c r="D31" s="42">
        <v>0</v>
      </c>
      <c r="E31" s="42">
        <v>5</v>
      </c>
      <c r="F31" s="42">
        <v>3</v>
      </c>
      <c r="G31" s="2241" t="s">
        <v>2203</v>
      </c>
      <c r="H31" s="2242"/>
      <c r="I31" s="2242"/>
      <c r="J31" s="2242"/>
      <c r="K31" s="2243"/>
      <c r="Z31" s="207"/>
    </row>
    <row r="32" spans="1:26" ht="32.15" customHeight="1">
      <c r="A32" s="23"/>
      <c r="B32" s="38"/>
      <c r="C32" s="1780" t="str">
        <f>IF(InScope, IF(Adversarial, "5-20+   (Low)", "N/A"), "Out of Scope")</f>
        <v>5-20+   (Low)</v>
      </c>
      <c r="D32" s="20">
        <v>5</v>
      </c>
      <c r="E32" s="20">
        <v>21</v>
      </c>
      <c r="F32" s="20">
        <v>13</v>
      </c>
      <c r="G32" s="2265" t="s">
        <v>2206</v>
      </c>
      <c r="H32" s="2266"/>
      <c r="I32" s="2266"/>
      <c r="J32" s="2266"/>
      <c r="K32" s="2267"/>
    </row>
    <row r="33" spans="1:11" ht="32.15" customHeight="1">
      <c r="A33" s="23"/>
      <c r="B33" s="38"/>
      <c r="C33" s="1780" t="str">
        <f>IF(InScope,  IF(Adversarial, "21-79+  (Moderate)", "N/A"), "Out of Scope")</f>
        <v>21-79+  (Moderate)</v>
      </c>
      <c r="D33" s="20">
        <v>21</v>
      </c>
      <c r="E33" s="20">
        <v>80</v>
      </c>
      <c r="F33" s="20">
        <v>51</v>
      </c>
      <c r="G33" s="2265" t="s">
        <v>2204</v>
      </c>
      <c r="H33" s="2266"/>
      <c r="I33" s="2266"/>
      <c r="J33" s="2266"/>
      <c r="K33" s="2267"/>
    </row>
    <row r="34" spans="1:11" ht="32.15" customHeight="1" thickBot="1">
      <c r="A34" s="23"/>
      <c r="B34" s="38"/>
      <c r="C34" s="1780" t="str">
        <f>IF(InScope,  IF(Adversarial, "80-95+  (High)", "N/A"), "Out of Scope")</f>
        <v>80-95+  (High)</v>
      </c>
      <c r="D34" s="20">
        <v>80</v>
      </c>
      <c r="E34" s="20">
        <v>96</v>
      </c>
      <c r="F34" s="20">
        <v>88</v>
      </c>
      <c r="G34" s="2265" t="s">
        <v>2207</v>
      </c>
      <c r="H34" s="2266"/>
      <c r="I34" s="2266"/>
      <c r="J34" s="2266"/>
      <c r="K34" s="2267"/>
    </row>
    <row r="35" spans="1:11" ht="32.15" customHeight="1" thickTop="1">
      <c r="A35" s="23"/>
      <c r="B35" s="38"/>
      <c r="C35" s="1974" t="str">
        <f>IF(InScope, IF(Adversarial, "96-100  (Very High)", "N/A"), "Out of Scope")</f>
        <v>96-100  (Very High)</v>
      </c>
      <c r="D35" s="1826">
        <v>96</v>
      </c>
      <c r="E35" s="1826">
        <v>100</v>
      </c>
      <c r="F35" s="1826">
        <v>98</v>
      </c>
      <c r="G35" s="2288" t="s">
        <v>2205</v>
      </c>
      <c r="H35" s="2289"/>
      <c r="I35" s="2289"/>
      <c r="J35" s="2289"/>
      <c r="K35" s="2290"/>
    </row>
    <row r="36" spans="1:11" ht="32.15" customHeight="1">
      <c r="A36" s="23"/>
      <c r="C36" s="84" t="str">
        <f>IF(InScope, "N/A", "Out of Scope")</f>
        <v>N/A</v>
      </c>
      <c r="D36" s="13"/>
      <c r="E36" s="13"/>
      <c r="F36" s="20" t="s">
        <v>408</v>
      </c>
      <c r="G36" s="2265" t="s">
        <v>408</v>
      </c>
      <c r="H36" s="2266"/>
      <c r="I36" s="2266"/>
      <c r="J36" s="2266"/>
      <c r="K36" s="2291"/>
    </row>
    <row r="37" spans="1:11">
      <c r="A37">
        <v>1</v>
      </c>
    </row>
    <row r="38" spans="1:11">
      <c r="A38">
        <f>1+A37</f>
        <v>2</v>
      </c>
    </row>
    <row r="39" spans="1:11">
      <c r="A39">
        <f t="shared" ref="A39:A43" si="2">1+A38</f>
        <v>3</v>
      </c>
    </row>
    <row r="40" spans="1:11">
      <c r="A40">
        <f t="shared" si="2"/>
        <v>4</v>
      </c>
    </row>
    <row r="41" spans="1:11">
      <c r="A41">
        <f t="shared" si="2"/>
        <v>5</v>
      </c>
    </row>
    <row r="42" spans="1:11">
      <c r="A42">
        <f t="shared" si="2"/>
        <v>6</v>
      </c>
    </row>
    <row r="43" spans="1:11">
      <c r="A43">
        <f t="shared" si="2"/>
        <v>7</v>
      </c>
    </row>
    <row r="61" ht="15" customHeight="1"/>
  </sheetData>
  <mergeCells count="12">
    <mergeCell ref="G35:K35"/>
    <mergeCell ref="G36:K36"/>
    <mergeCell ref="G30:K30"/>
    <mergeCell ref="G31:K31"/>
    <mergeCell ref="G32:K32"/>
    <mergeCell ref="G33:K33"/>
    <mergeCell ref="G34:K34"/>
    <mergeCell ref="C2:D4"/>
    <mergeCell ref="C5:D5"/>
    <mergeCell ref="F4:H4"/>
    <mergeCell ref="F2:H2"/>
    <mergeCell ref="J3:L3"/>
  </mergeCells>
  <conditionalFormatting sqref="C7">
    <cfRule type="containsText" dxfId="170" priority="32" operator="containsText" text="(Very Low)">
      <formula>NOT(ISERROR(SEARCH("(Very Low)",C7)))</formula>
    </cfRule>
    <cfRule type="containsText" dxfId="169" priority="33" operator="containsText" text="(Low)">
      <formula>NOT(ISERROR(SEARCH("(Low)",C7)))</formula>
    </cfRule>
    <cfRule type="containsText" dxfId="168" priority="34" operator="containsText" text="Moderate">
      <formula>NOT(ISERROR(SEARCH("Moderate",C7)))</formula>
    </cfRule>
    <cfRule type="containsText" dxfId="167" priority="35" operator="containsText" text="(High)">
      <formula>NOT(ISERROR(SEARCH("(High)",C7)))</formula>
    </cfRule>
    <cfRule type="containsText" dxfId="166" priority="36" operator="containsText" text="(Very High)">
      <formula>NOT(ISERROR(SEARCH("(Very High)",C7)))</formula>
    </cfRule>
  </conditionalFormatting>
  <conditionalFormatting sqref="D6:D7">
    <cfRule type="expression" dxfId="165" priority="30">
      <formula>SME_Rating_D3</formula>
    </cfRule>
  </conditionalFormatting>
  <conditionalFormatting sqref="C5:D5">
    <cfRule type="expression" dxfId="164" priority="29">
      <formula>SME_Rating_D3</formula>
    </cfRule>
  </conditionalFormatting>
  <conditionalFormatting sqref="D7">
    <cfRule type="expression" dxfId="163" priority="2391">
      <formula>OR(AND(IF($C$7=$C$31,1,0),OR(IF($D$7&lt;$D$31,1,0),IF($D$7&gt;=$E$31,1,0))),  AND(IF($C$7=$C$32,1,0),OR(IF($D$7&lt;$D$32,1,0),IF($D$7&gt;=$E$32,1,0))),  AND(IF($C$7=$C$33,1,0),OR(IF($D$7&lt;$D$33,1,0),IF($D$7&gt;=$E$33,1,0))),  AND(IF($C$7=$C$34,1,0),OR(IF($D$7&lt;$D$34,1,0),IF($D$7&gt;=$E$34,1,0))),  AND(IF($C$7=$C$35,1,0),OR(IF($D$7&lt;$D$35,1,0),IF($D$7&gt;$E$35&gt;#REF!,1,0))))</formula>
    </cfRule>
  </conditionalFormatting>
  <dataValidations count="5">
    <dataValidation type="list" allowBlank="1" showInputMessage="1" sqref="D7" xr:uid="{00000000-0002-0000-0C00-000000000000}">
      <formula1>$M$41</formula1>
    </dataValidation>
    <dataValidation type="list" allowBlank="1" showErrorMessage="1" sqref="M7" xr:uid="{00000000-0002-0000-0C00-000001000000}">
      <formula1>$C$30:$C$35</formula1>
    </dataValidation>
    <dataValidation type="list" allowBlank="1" sqref="N7" xr:uid="{00000000-0002-0000-0C00-000002000000}">
      <formula1>Z30</formula1>
    </dataValidation>
    <dataValidation type="list" allowBlank="1" showErrorMessage="1" sqref="C7" xr:uid="{00000000-0002-0000-0C00-000003000000}">
      <formula1>C30:C35</formula1>
    </dataValidation>
    <dataValidation type="list" allowBlank="1" showInputMessage="1" showErrorMessage="1" sqref="F7" xr:uid="{00000000-0002-0000-0C00-000004000000}">
      <formula1 xml:space="preserve"> C30:C36</formula1>
    </dataValidation>
  </dataValidations>
  <pageMargins left="0.7" right="0.7" top="0.75" bottom="0.75" header="0.3" footer="0.3"/>
  <pageSetup paperSize="8450" orientation="landscape" r:id="rId1"/>
  <drawing r:id="rId2"/>
  <legacyDrawing r:id="rId3"/>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codeName="Sheet4">
    <tabColor rgb="FFFFC000"/>
  </sheetPr>
  <dimension ref="A1:N38"/>
  <sheetViews>
    <sheetView workbookViewId="0">
      <selection activeCell="H22" sqref="H22"/>
    </sheetView>
  </sheetViews>
  <sheetFormatPr defaultRowHeight="14.6"/>
  <cols>
    <col min="3" max="4" width="24.69140625" customWidth="1"/>
    <col min="5" max="5" width="20.69140625" customWidth="1"/>
    <col min="6" max="6" width="22.69140625" customWidth="1"/>
    <col min="7" max="10" width="20.69140625" customWidth="1"/>
    <col min="11" max="11" width="157.15234375" customWidth="1"/>
    <col min="12" max="13" width="20.69140625" customWidth="1"/>
    <col min="14" max="16" width="24.69140625" customWidth="1"/>
    <col min="26" max="26" width="18.3828125" customWidth="1"/>
  </cols>
  <sheetData>
    <row r="1" spans="1:14" ht="15" thickBot="1"/>
    <row r="2" spans="1:14" ht="76.5" customHeight="1" thickTop="1">
      <c r="C2" s="2271" t="e">
        <f>VLOOKUP($C$7,$C$30:$G$35,5,FALSE)</f>
        <v>#N/A</v>
      </c>
      <c r="D2" s="2272"/>
      <c r="F2" s="2282" t="str">
        <f>VLOOKUP(Work!$O$8,'D4'!C30:G35,5,FALSE)</f>
        <v>Description: 
The adversary seeks to undermine/impede critical aspects of a core mission or business function, program, or enterprise, or place itself in a position to do so in the future, by maintaining a presence in the organization’s information systems or infrastructure. The adversary is very concerned about minimizing attack detection/disclosure of tradecraft, particularly while preparing for future attacks.</v>
      </c>
      <c r="G2" s="2283"/>
      <c r="H2" s="2284"/>
    </row>
    <row r="3" spans="1:14" ht="16.5" customHeight="1" thickBot="1">
      <c r="C3" s="2273"/>
      <c r="D3" s="2274"/>
      <c r="F3" s="1279"/>
      <c r="H3" s="1280"/>
    </row>
    <row r="4" spans="1:14" ht="15" thickBot="1">
      <c r="C4" s="2275"/>
      <c r="D4" s="2276"/>
      <c r="F4" s="2279" t="str">
        <f>IF(InScope="Yes", IF(SmeRatingD4,"D4_Error: Click for Mean Value or Redo SME Rating",""), "Out of Scope")</f>
        <v>Out of Scope</v>
      </c>
      <c r="G4" s="2280"/>
      <c r="H4" s="2281"/>
    </row>
    <row r="5" spans="1:14" ht="15" thickBot="1">
      <c r="C5" s="2277" t="e">
        <f>IF(SME_Rating_D4,"Error: Click for Mean Value or Redo SME Rating","")</f>
        <v>#VALUE!</v>
      </c>
      <c r="D5" s="2278"/>
      <c r="F5" s="1279"/>
      <c r="H5" s="1280"/>
    </row>
    <row r="6" spans="1:14" ht="15.45" thickTop="1" thickBot="1">
      <c r="C6" s="44" t="s">
        <v>146</v>
      </c>
      <c r="D6" s="51" t="s">
        <v>135</v>
      </c>
      <c r="F6" s="1279"/>
      <c r="H6" s="1538" t="s">
        <v>178</v>
      </c>
      <c r="J6" s="1538" t="s">
        <v>178</v>
      </c>
    </row>
    <row r="7" spans="1:14" ht="15.45" thickTop="1" thickBot="1">
      <c r="C7" s="36" t="s">
        <v>148</v>
      </c>
      <c r="D7" s="53" t="e">
        <f>+MeanValue_D4</f>
        <v>#VALUE!</v>
      </c>
      <c r="F7" s="1540" t="s">
        <v>131</v>
      </c>
      <c r="G7" s="1539" t="s">
        <v>1694</v>
      </c>
      <c r="H7" s="1542">
        <f>IF(InScope, IF( OR(NOT(Adversarial),(Work!$R$8='D4'!$C$30) ),"N/A",VALUE(CONCATENATE("0",IF(Work!$R$8='D4'!$C$31,3,""),IF(Work!$R$8='D4'!$C$32,13,""),IF(Work!$R$8='D4'!$C$33,51,""),IF(Work!$R$8='D4'!$C$34,88,""),IF(Work!$R$8='D4'!$C$35,98,"")))), "Out of Scope")</f>
        <v>13</v>
      </c>
      <c r="J7" s="1542">
        <f>IF(InScope, IF( OR(NOT(Adversarial),(Work!$R$8='D4'!$C$30) ),"N/A",VALUE(CONCATENATE("0",IF(Work!$R$8='D4'!$C$31,3,""),IF(Work!$R$8='D4'!$C$32,13,""),IF(Work!$R$8='D4'!$C$33,51,""),IF(Work!$R$8='D4'!$C$34,88,""),IF(Work!$R$8='D4'!$C$35,98,"")))), "Out of Scope")</f>
        <v>13</v>
      </c>
    </row>
    <row r="8" spans="1:14" ht="15" thickTop="1">
      <c r="F8" s="1279"/>
      <c r="H8" s="1782" t="str">
        <f>IF(InScope, "", "Out of Scope")</f>
        <v/>
      </c>
      <c r="J8" s="1782" t="str">
        <f>IF(InScope, "", "Out of Scope")</f>
        <v/>
      </c>
      <c r="L8" s="45"/>
      <c r="M8" s="45"/>
      <c r="N8" s="45"/>
    </row>
    <row r="9" spans="1:14" ht="18.45">
      <c r="A9">
        <v>1</v>
      </c>
      <c r="F9" s="2295" t="s">
        <v>1693</v>
      </c>
      <c r="G9" s="2296"/>
      <c r="H9" s="2297"/>
    </row>
    <row r="10" spans="1:14" ht="15" thickBot="1">
      <c r="A10">
        <f>1+A9</f>
        <v>2</v>
      </c>
      <c r="F10" s="1282"/>
      <c r="G10" s="1283"/>
      <c r="H10" s="1284"/>
    </row>
    <row r="11" spans="1:14" ht="15" thickTop="1">
      <c r="A11">
        <f>1+A10</f>
        <v>3</v>
      </c>
    </row>
    <row r="12" spans="1:14">
      <c r="A12">
        <f t="shared" ref="A12:A22" si="0">1+A11</f>
        <v>4</v>
      </c>
    </row>
    <row r="13" spans="1:14">
      <c r="A13">
        <f t="shared" si="0"/>
        <v>5</v>
      </c>
    </row>
    <row r="14" spans="1:14">
      <c r="A14">
        <f t="shared" si="0"/>
        <v>6</v>
      </c>
    </row>
    <row r="15" spans="1:14">
      <c r="A15">
        <f t="shared" si="0"/>
        <v>7</v>
      </c>
    </row>
    <row r="16" spans="1:14">
      <c r="A16">
        <f t="shared" si="0"/>
        <v>8</v>
      </c>
    </row>
    <row r="17" spans="1:11">
      <c r="A17">
        <f t="shared" si="0"/>
        <v>9</v>
      </c>
    </row>
    <row r="18" spans="1:11">
      <c r="A18">
        <f t="shared" si="0"/>
        <v>10</v>
      </c>
    </row>
    <row r="19" spans="1:11">
      <c r="A19">
        <f t="shared" si="0"/>
        <v>11</v>
      </c>
    </row>
    <row r="20" spans="1:11">
      <c r="A20">
        <f t="shared" si="0"/>
        <v>12</v>
      </c>
    </row>
    <row r="21" spans="1:11">
      <c r="A21">
        <f t="shared" si="0"/>
        <v>13</v>
      </c>
    </row>
    <row r="22" spans="1:11">
      <c r="A22">
        <f t="shared" si="0"/>
        <v>14</v>
      </c>
    </row>
    <row r="23" spans="1:11">
      <c r="A23">
        <f t="shared" ref="A23:A26" si="1">1+A22</f>
        <v>15</v>
      </c>
    </row>
    <row r="24" spans="1:11">
      <c r="A24">
        <f t="shared" si="1"/>
        <v>16</v>
      </c>
    </row>
    <row r="25" spans="1:11">
      <c r="A25">
        <f t="shared" si="1"/>
        <v>17</v>
      </c>
    </row>
    <row r="26" spans="1:11">
      <c r="A26">
        <f t="shared" si="1"/>
        <v>18</v>
      </c>
    </row>
    <row r="27" spans="1:11">
      <c r="A27">
        <f t="shared" ref="A27:A28" si="2">1+A26</f>
        <v>19</v>
      </c>
    </row>
    <row r="28" spans="1:11" ht="15" thickBot="1">
      <c r="A28">
        <f t="shared" si="2"/>
        <v>20</v>
      </c>
    </row>
    <row r="29" spans="1:11" ht="48" customHeight="1" thickTop="1" thickBot="1">
      <c r="C29" s="61" t="s">
        <v>48</v>
      </c>
      <c r="D29" s="62" t="s">
        <v>103</v>
      </c>
      <c r="E29" s="62" t="s">
        <v>104</v>
      </c>
      <c r="F29" s="62" t="s">
        <v>117</v>
      </c>
      <c r="G29" s="2298" t="s">
        <v>102</v>
      </c>
      <c r="H29" s="2299"/>
      <c r="I29" s="2299"/>
      <c r="J29" s="2299"/>
      <c r="K29" s="2300"/>
    </row>
    <row r="30" spans="1:11" ht="48" customHeight="1" thickTop="1" thickBot="1">
      <c r="A30" s="23">
        <v>1</v>
      </c>
      <c r="B30" s="38" t="s">
        <v>136</v>
      </c>
      <c r="C30" s="1778" t="str">
        <f>IF(InScope,  IF(Adversarial, "-1       Help (n/a)", "N/A"), "Out of Scope")</f>
        <v>-1       Help (n/a)</v>
      </c>
      <c r="D30" s="21">
        <v>-3</v>
      </c>
      <c r="E30" s="21">
        <v>-1</v>
      </c>
      <c r="F30" s="21">
        <v>-2</v>
      </c>
      <c r="G30" s="2292" t="s">
        <v>1827</v>
      </c>
      <c r="H30" s="2301"/>
      <c r="I30" s="2301"/>
      <c r="J30" s="2301"/>
      <c r="K30" s="2302"/>
    </row>
    <row r="31" spans="1:11" ht="48" customHeight="1" thickTop="1">
      <c r="A31" s="23">
        <f>1+A30</f>
        <v>2</v>
      </c>
      <c r="B31" s="38" t="s">
        <v>137</v>
      </c>
      <c r="C31" s="1779" t="str">
        <f>IF(InScope,  IF(Adversarial, "0-4+    (Very Low)", "N/A"), "Out of Scope")</f>
        <v>0-4+    (Very Low)</v>
      </c>
      <c r="D31" s="42">
        <v>0</v>
      </c>
      <c r="E31" s="42">
        <v>5</v>
      </c>
      <c r="F31" s="42">
        <v>3</v>
      </c>
      <c r="G31" s="2241" t="s">
        <v>1828</v>
      </c>
      <c r="H31" s="2242"/>
      <c r="I31" s="2242"/>
      <c r="J31" s="2242"/>
      <c r="K31" s="2243"/>
    </row>
    <row r="32" spans="1:11" ht="48" customHeight="1">
      <c r="A32" s="23">
        <f>1+A31</f>
        <v>3</v>
      </c>
      <c r="B32" s="38" t="s">
        <v>138</v>
      </c>
      <c r="C32" s="1780" t="str">
        <f>IF(InScope, IF(Adversarial, "5-20+   (Low)", "N/A"), "Out of Scope")</f>
        <v>5-20+   (Low)</v>
      </c>
      <c r="D32" s="20">
        <v>5</v>
      </c>
      <c r="E32" s="20">
        <v>21</v>
      </c>
      <c r="F32" s="20">
        <v>13</v>
      </c>
      <c r="G32" s="2265" t="s">
        <v>1829</v>
      </c>
      <c r="H32" s="2266"/>
      <c r="I32" s="2266"/>
      <c r="J32" s="2266"/>
      <c r="K32" s="2267"/>
    </row>
    <row r="33" spans="1:11" ht="48" customHeight="1">
      <c r="A33" s="23">
        <f>1+A32</f>
        <v>4</v>
      </c>
      <c r="B33" s="38" t="s">
        <v>139</v>
      </c>
      <c r="C33" s="1780" t="str">
        <f>IF(InScope, IF(Adversarial, "21-79+  (Moderate)", "N/A"),  "Out of Scope")</f>
        <v>21-79+  (Moderate)</v>
      </c>
      <c r="D33" s="20">
        <v>21</v>
      </c>
      <c r="E33" s="20">
        <v>80</v>
      </c>
      <c r="F33" s="20">
        <v>51</v>
      </c>
      <c r="G33" s="2265" t="s">
        <v>1830</v>
      </c>
      <c r="H33" s="2266"/>
      <c r="I33" s="2266"/>
      <c r="J33" s="2266"/>
      <c r="K33" s="2267"/>
    </row>
    <row r="34" spans="1:11" ht="48" customHeight="1" thickBot="1">
      <c r="A34" s="23">
        <f>1+A33</f>
        <v>5</v>
      </c>
      <c r="B34" s="38" t="s">
        <v>140</v>
      </c>
      <c r="C34" s="1780" t="str">
        <f>IF(InScope, IF(Adversarial, "80-95+  (High)", "N/A"), "Out of Scope")</f>
        <v>80-95+  (High)</v>
      </c>
      <c r="D34" s="20">
        <v>80</v>
      </c>
      <c r="E34" s="20">
        <v>96</v>
      </c>
      <c r="F34" s="20">
        <v>88</v>
      </c>
      <c r="G34" s="2265" t="s">
        <v>1831</v>
      </c>
      <c r="H34" s="2266"/>
      <c r="I34" s="2266"/>
      <c r="J34" s="2266"/>
      <c r="K34" s="2267"/>
    </row>
    <row r="35" spans="1:11" ht="48" customHeight="1" thickTop="1" thickBot="1">
      <c r="A35" s="23">
        <f>1+A34</f>
        <v>6</v>
      </c>
      <c r="B35" s="38" t="s">
        <v>141</v>
      </c>
      <c r="C35" s="1781" t="str">
        <f>IF(InScope, IF(Adversarial, "96-100  (Very High)", "N/A"), "Out of Scope")</f>
        <v>96-100  (Very High)</v>
      </c>
      <c r="D35" s="4">
        <v>96</v>
      </c>
      <c r="E35" s="4">
        <v>100</v>
      </c>
      <c r="F35" s="4">
        <v>98</v>
      </c>
      <c r="G35" s="2244" t="s">
        <v>1832</v>
      </c>
      <c r="H35" s="2245"/>
      <c r="I35" s="2245"/>
      <c r="J35" s="2245"/>
      <c r="K35" s="2246"/>
    </row>
    <row r="36" spans="1:11" ht="15" thickTop="1">
      <c r="A36" s="23"/>
      <c r="C36" t="str">
        <f>IF(InScope, "N/A", "Out of Scope")</f>
        <v>N/A</v>
      </c>
      <c r="F36" t="s">
        <v>408</v>
      </c>
      <c r="G36" t="s">
        <v>408</v>
      </c>
    </row>
    <row r="37" spans="1:11">
      <c r="A37" s="23"/>
    </row>
    <row r="38" spans="1:11">
      <c r="A38" s="23"/>
      <c r="G38" s="23"/>
      <c r="H38" s="23"/>
      <c r="I38" s="23"/>
      <c r="K38" s="43"/>
    </row>
  </sheetData>
  <mergeCells count="12">
    <mergeCell ref="G34:K34"/>
    <mergeCell ref="G35:K35"/>
    <mergeCell ref="G29:K29"/>
    <mergeCell ref="G30:K30"/>
    <mergeCell ref="G31:K31"/>
    <mergeCell ref="G32:K32"/>
    <mergeCell ref="G33:K33"/>
    <mergeCell ref="C2:D4"/>
    <mergeCell ref="C5:D5"/>
    <mergeCell ref="F2:H2"/>
    <mergeCell ref="F4:H4"/>
    <mergeCell ref="F9:H9"/>
  </mergeCells>
  <conditionalFormatting sqref="D6">
    <cfRule type="expression" dxfId="162" priority="3">
      <formula>SME_Rating_D4</formula>
    </cfRule>
  </conditionalFormatting>
  <conditionalFormatting sqref="C5:D5">
    <cfRule type="expression" dxfId="161" priority="1">
      <formula>SME_Rating_D4</formula>
    </cfRule>
  </conditionalFormatting>
  <conditionalFormatting sqref="D7">
    <cfRule type="expression" dxfId="160" priority="4">
      <formula>SME_Rating_D4</formula>
    </cfRule>
  </conditionalFormatting>
  <dataValidations count="3">
    <dataValidation type="list" allowBlank="1" showErrorMessage="1" sqref="C7" xr:uid="{00000000-0002-0000-0D00-000000000000}">
      <formula1>$C$30:$C$35</formula1>
    </dataValidation>
    <dataValidation type="list" allowBlank="1" showInputMessage="1" sqref="D7" xr:uid="{00000000-0002-0000-0D00-000001000000}">
      <formula1>"+MeanValue_D4"</formula1>
    </dataValidation>
    <dataValidation type="list" allowBlank="1" showInputMessage="1" showErrorMessage="1" sqref="F7" xr:uid="{00000000-0002-0000-0D00-000002000000}">
      <formula1 xml:space="preserve"> C30:C36</formula1>
    </dataValidation>
  </dataValidations>
  <pageMargins left="0.7" right="0.7" top="0.75" bottom="0.75" header="0.3" footer="0.3"/>
  <pageSetup orientation="portrait" verticalDpi="0" r:id="rId1"/>
  <drawing r:id="rId2"/>
  <legacyDrawing r:id="rId3"/>
  <extLst>
    <ext xmlns:x14="http://schemas.microsoft.com/office/spreadsheetml/2009/9/main" uri="{78C0D931-6437-407d-A8EE-F0AAD7539E65}">
      <x14:conditionalFormattings>
        <x14:conditionalFormatting xmlns:xm="http://schemas.microsoft.com/office/excel/2006/main">
          <x14:cfRule type="containsText" priority="5" operator="containsText" text="(Very Low)" id="{D17C8F21-ECB8-48EA-B01E-1160E00E5237}">
            <xm:f>NOT(ISERROR(SEARCH("(Very Low)",'D3'!C7)))</xm:f>
            <x14:dxf>
              <font>
                <b/>
                <i val="0"/>
              </font>
              <fill>
                <patternFill>
                  <bgColor rgb="FF92D050"/>
                </patternFill>
              </fill>
            </x14:dxf>
          </x14:cfRule>
          <x14:cfRule type="containsText" priority="6" operator="containsText" text="(Low)" id="{81B9DBB6-C70F-44B3-B9AD-3F3D583886E8}">
            <xm:f>NOT(ISERROR(SEARCH("(Low)",'D3'!C7)))</xm:f>
            <x14:dxf>
              <font>
                <b/>
                <i val="0"/>
              </font>
              <fill>
                <patternFill>
                  <bgColor theme="9" tint="0.59996337778862885"/>
                </patternFill>
              </fill>
            </x14:dxf>
          </x14:cfRule>
          <x14:cfRule type="containsText" priority="7" operator="containsText" text="Moderate" id="{43DAEF90-A325-4098-9969-F6F522EA75F5}">
            <xm:f>NOT(ISERROR(SEARCH("Moderate",'D3'!C7)))</xm:f>
            <x14:dxf>
              <font>
                <b/>
                <i val="0"/>
              </font>
              <fill>
                <patternFill>
                  <bgColor rgb="FFFFFF00"/>
                </patternFill>
              </fill>
            </x14:dxf>
          </x14:cfRule>
          <x14:cfRule type="containsText" priority="8" operator="containsText" text="(High)" id="{297229B3-D024-4A35-8CAC-2DEAFB74E5D1}">
            <xm:f>NOT(ISERROR(SEARCH("(High)",'D3'!C7)))</xm:f>
            <x14:dxf>
              <font>
                <b/>
                <i val="0"/>
              </font>
              <fill>
                <patternFill>
                  <bgColor rgb="FFFF7C80"/>
                </patternFill>
              </fill>
            </x14:dxf>
          </x14:cfRule>
          <x14:cfRule type="containsText" priority="9" operator="containsText" text="(Very High)" id="{C44EBD91-EF8F-45E2-883C-0402961806A6}">
            <xm:f>NOT(ISERROR(SEARCH("(Very High)",'D3'!C7)))</xm:f>
            <x14:dxf>
              <font>
                <b/>
                <i val="0"/>
              </font>
              <fill>
                <patternFill>
                  <bgColor rgb="FFFF0000"/>
                </patternFill>
              </fill>
            </x14:dxf>
          </x14:cfRule>
          <xm:sqref>C7</xm:sqref>
        </x14:conditionalFormatting>
        <x14:conditionalFormatting xmlns:xm="http://schemas.microsoft.com/office/excel/2006/main">
          <x14:cfRule type="expression" priority="2397" id="{8D5682F4-EA3D-446E-B071-3A0737DD23DA}">
            <xm:f>OR(AND(IF('D3'!$C$7='D3'!$C$31,1,0),OR(IF('D3'!$D$7&lt;'D3'!$D$31,1,0),IF('D3'!$D$7&gt;='D3'!$E$31,1,0))),  AND(IF('D3'!$C$7='D3'!$C$32,1,0),OR(IF('D3'!$D$7&lt;'D3'!$D$32,1,0),IF('D3'!$D$7&gt;='D3'!$E$32,1,0))),  AND(IF('D3'!$C$7='D3'!$C$33,1,0),OR(IF('D3'!$D$7&lt;'D3'!$D$33,1,0),IF('D3'!$D$7&gt;='D3'!$E$33,1,0))),  AND(IF('D3'!$C$7='D3'!$C$34,1,0),OR(IF('D3'!$D$7&lt;'D3'!$D$34,1,0),IF('D3'!$D$7&gt;='D3'!$E$34,1,0))),  AND(IF('D3'!$C$7='D3'!$C$35,1,0),OR(IF('D3'!$D$7&lt;'D3'!$D$35,1,0),IF('D3'!$D$7&gt;'D3'!$E$35&gt;'D3'!#REF!,1,0))))</xm:f>
            <x14:dxf>
              <font>
                <b/>
                <i val="0"/>
                <strike val="0"/>
                <color rgb="FFC00000"/>
              </font>
              <fill>
                <patternFill>
                  <bgColor rgb="FFFFC000"/>
                </patternFill>
              </fill>
            </x14:dxf>
          </x14:cfRule>
          <xm:sqref>D7</xm:sqref>
        </x14:conditionalFormatting>
      </x14:conditionalFormattings>
    </ext>
  </extLst>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FFC000"/>
  </sheetPr>
  <dimension ref="A1:N57"/>
  <sheetViews>
    <sheetView workbookViewId="0">
      <selection activeCell="C36" sqref="C36"/>
    </sheetView>
  </sheetViews>
  <sheetFormatPr defaultRowHeight="14.6"/>
  <cols>
    <col min="3" max="4" width="24.69140625" customWidth="1"/>
    <col min="5" max="5" width="20.69140625" customWidth="1"/>
    <col min="6" max="6" width="22.69140625" customWidth="1"/>
    <col min="7" max="10" width="20.69140625" customWidth="1"/>
    <col min="11" max="11" width="157.15234375" customWidth="1"/>
    <col min="12" max="13" width="20.69140625" customWidth="1"/>
    <col min="14" max="16" width="24.69140625" customWidth="1"/>
    <col min="26" max="26" width="17.3828125" customWidth="1"/>
  </cols>
  <sheetData>
    <row r="1" spans="1:14" ht="15" thickBot="1"/>
    <row r="2" spans="1:14" ht="76.5" customHeight="1" thickTop="1">
      <c r="C2" s="2271" t="e">
        <f>VLOOKUP($C$7,$C$30:$G$35,5,FALSE)</f>
        <v>#N/A</v>
      </c>
      <c r="D2" s="2272"/>
      <c r="F2" s="2282" t="str">
        <f>VLOOKUP(Work!$U$8,'D5'!$C$30:$G$35,5,FALSE)</f>
        <v>Description: 
The adversary uses publicly available information to target a class of high-value organizations or information, and seeks targets of opportunity within that class.</v>
      </c>
      <c r="G2" s="2283"/>
      <c r="H2" s="2284"/>
    </row>
    <row r="3" spans="1:14" ht="16.5" customHeight="1" thickBot="1">
      <c r="C3" s="2273"/>
      <c r="D3" s="2274"/>
      <c r="F3" s="1279"/>
      <c r="H3" s="1280"/>
    </row>
    <row r="4" spans="1:14" ht="15" thickBot="1">
      <c r="C4" s="2275"/>
      <c r="D4" s="2276"/>
      <c r="F4" s="2279" t="str">
        <f>IF(InScope="Yes", IF(SmeRatingD5,"D5_Error: Click for Mean Value or Redo SME Rating",""), "Out of Scope")</f>
        <v>Out of Scope</v>
      </c>
      <c r="G4" s="2280"/>
      <c r="H4" s="2281"/>
    </row>
    <row r="5" spans="1:14" ht="15" thickBot="1">
      <c r="C5" s="2277" t="e">
        <f>IF(SME_Rating_D5,"Error: Click for Mean Value or Redo SME Rating","")</f>
        <v>#VALUE!</v>
      </c>
      <c r="D5" s="2278"/>
      <c r="F5" s="1279"/>
      <c r="H5" s="1280"/>
    </row>
    <row r="6" spans="1:14" ht="15.45" thickTop="1" thickBot="1">
      <c r="C6" s="44" t="s">
        <v>150</v>
      </c>
      <c r="D6" s="51" t="s">
        <v>135</v>
      </c>
      <c r="F6" s="1279"/>
      <c r="H6" s="1538" t="s">
        <v>180</v>
      </c>
      <c r="J6" s="1538" t="s">
        <v>180</v>
      </c>
    </row>
    <row r="7" spans="1:14" ht="15.45" thickTop="1" thickBot="1">
      <c r="C7" s="36" t="s">
        <v>148</v>
      </c>
      <c r="D7" s="53" t="e">
        <f>+MeanValue_D5</f>
        <v>#VALUE!</v>
      </c>
      <c r="F7" s="1540" t="s">
        <v>131</v>
      </c>
      <c r="G7" s="1539" t="s">
        <v>1695</v>
      </c>
      <c r="H7" s="20">
        <f>IF(InScope, IF( OR(NOT(Adversarial),(Work!$U$8='D5'!$C$30) ),"N/A",VALUE(CONCATENATE("0",IF(Work!$U$8='D5'!$C$31,3,""),IF(Work!$U$8='D5'!$C$32,13,""),IF(Work!$U$8='D5'!$C$33,51,""),IF(Work!$U$8='D5'!$C$34,88,""),IF(Work!$U$8='D5'!$C$35,98,"")))), "Out of Scope")</f>
        <v>13</v>
      </c>
      <c r="J7" s="20">
        <f>IF(InScope, IF( OR(NOT(Adversarial),(Work!$U$8='D5'!$C$30) ),"N/A",VALUE(CONCATENATE("0",IF(Work!$U$8='D5'!$C$31,3,""),IF(Work!$U$8='D5'!$C$32,13,""),IF(Work!$U$8='D5'!$C$33,51,""),IF(Work!$U$8='D5'!$C$34,88,""),IF(Work!$U$8='D5'!$C$35,98,"")))), "Out of Scope")</f>
        <v>13</v>
      </c>
    </row>
    <row r="8" spans="1:14" ht="16.3" thickTop="1">
      <c r="C8" s="72" t="s">
        <v>151</v>
      </c>
      <c r="D8" s="72" t="s">
        <v>152</v>
      </c>
      <c r="F8" s="1279"/>
      <c r="H8" s="1783" t="str">
        <f>IF(InScope, "", "Out of Scope")</f>
        <v/>
      </c>
      <c r="J8" s="1783" t="str">
        <f>IF(InScope, "", "Out of Scope")</f>
        <v/>
      </c>
      <c r="L8" s="45"/>
      <c r="M8" s="45"/>
      <c r="N8" s="45"/>
    </row>
    <row r="9" spans="1:14" ht="18.45">
      <c r="A9">
        <v>1</v>
      </c>
      <c r="F9" s="2295" t="s">
        <v>1693</v>
      </c>
      <c r="G9" s="2296"/>
      <c r="H9" s="2297"/>
    </row>
    <row r="10" spans="1:14" ht="15" thickBot="1">
      <c r="A10">
        <f>1+A9</f>
        <v>2</v>
      </c>
      <c r="F10" s="1282"/>
      <c r="G10" s="1283"/>
      <c r="H10" s="1284"/>
    </row>
    <row r="11" spans="1:14" ht="15" thickTop="1">
      <c r="A11">
        <f t="shared" ref="A11:A28" si="0">1+A10</f>
        <v>3</v>
      </c>
      <c r="F11" s="1935"/>
      <c r="G11" s="1935"/>
      <c r="H11" s="1935"/>
    </row>
    <row r="12" spans="1:14">
      <c r="A12">
        <f t="shared" si="0"/>
        <v>4</v>
      </c>
      <c r="F12" s="1935"/>
      <c r="G12" s="1935"/>
      <c r="H12" s="1935"/>
    </row>
    <row r="13" spans="1:14">
      <c r="A13">
        <f t="shared" si="0"/>
        <v>5</v>
      </c>
      <c r="F13" s="1935"/>
      <c r="G13" s="1935"/>
      <c r="H13" s="1935"/>
    </row>
    <row r="14" spans="1:14">
      <c r="A14">
        <f t="shared" si="0"/>
        <v>6</v>
      </c>
      <c r="F14" s="1935"/>
      <c r="G14" s="1935"/>
      <c r="H14" s="1935"/>
    </row>
    <row r="15" spans="1:14">
      <c r="A15">
        <f t="shared" si="0"/>
        <v>7</v>
      </c>
      <c r="F15" s="1935"/>
      <c r="G15" s="1935"/>
      <c r="H15" s="1935"/>
    </row>
    <row r="16" spans="1:14">
      <c r="A16">
        <f t="shared" si="0"/>
        <v>8</v>
      </c>
      <c r="F16" s="1935"/>
      <c r="G16" s="1935"/>
      <c r="H16" s="1935"/>
    </row>
    <row r="17" spans="1:11">
      <c r="A17">
        <f t="shared" si="0"/>
        <v>9</v>
      </c>
      <c r="F17" s="1935"/>
      <c r="G17" s="1935"/>
      <c r="H17" s="1935"/>
    </row>
    <row r="18" spans="1:11">
      <c r="A18">
        <f t="shared" si="0"/>
        <v>10</v>
      </c>
      <c r="F18" s="1935"/>
      <c r="G18" s="1935"/>
      <c r="H18" s="1935"/>
    </row>
    <row r="19" spans="1:11">
      <c r="A19">
        <f t="shared" si="0"/>
        <v>11</v>
      </c>
      <c r="F19" s="1935"/>
      <c r="G19" s="1935"/>
      <c r="H19" s="1935"/>
    </row>
    <row r="20" spans="1:11">
      <c r="A20">
        <f t="shared" si="0"/>
        <v>12</v>
      </c>
      <c r="F20" s="1935"/>
      <c r="G20" s="1935"/>
      <c r="H20" s="1935"/>
    </row>
    <row r="21" spans="1:11">
      <c r="A21">
        <f t="shared" si="0"/>
        <v>13</v>
      </c>
    </row>
    <row r="22" spans="1:11">
      <c r="A22">
        <f t="shared" si="0"/>
        <v>14</v>
      </c>
    </row>
    <row r="23" spans="1:11">
      <c r="A23">
        <f t="shared" si="0"/>
        <v>15</v>
      </c>
    </row>
    <row r="24" spans="1:11">
      <c r="A24">
        <f t="shared" si="0"/>
        <v>16</v>
      </c>
    </row>
    <row r="25" spans="1:11">
      <c r="A25">
        <f t="shared" si="0"/>
        <v>17</v>
      </c>
    </row>
    <row r="26" spans="1:11">
      <c r="A26">
        <f t="shared" si="0"/>
        <v>18</v>
      </c>
    </row>
    <row r="27" spans="1:11">
      <c r="A27">
        <f t="shared" si="0"/>
        <v>19</v>
      </c>
    </row>
    <row r="28" spans="1:11" ht="15" thickBot="1">
      <c r="A28">
        <f t="shared" si="0"/>
        <v>20</v>
      </c>
    </row>
    <row r="29" spans="1:11" ht="48" customHeight="1" thickTop="1" thickBot="1">
      <c r="C29" s="61" t="s">
        <v>48</v>
      </c>
      <c r="D29" s="62" t="s">
        <v>103</v>
      </c>
      <c r="E29" s="62" t="s">
        <v>104</v>
      </c>
      <c r="F29" s="62" t="s">
        <v>117</v>
      </c>
      <c r="G29" s="2298" t="s">
        <v>102</v>
      </c>
      <c r="H29" s="2299"/>
      <c r="I29" s="2299"/>
      <c r="J29" s="2299"/>
      <c r="K29" s="2300"/>
    </row>
    <row r="30" spans="1:11" ht="48" customHeight="1" thickTop="1" thickBot="1">
      <c r="A30" s="23">
        <v>1</v>
      </c>
      <c r="B30" s="38" t="s">
        <v>2172</v>
      </c>
      <c r="C30" s="1778" t="str">
        <f>IF(InScope,   IF(Adversarial, "-1       Help (n/a)", "N/A"), "Out of Scope")</f>
        <v>-1       Help (n/a)</v>
      </c>
      <c r="D30" s="21">
        <v>-3</v>
      </c>
      <c r="E30" s="21">
        <v>-1</v>
      </c>
      <c r="F30" s="21">
        <v>-2</v>
      </c>
      <c r="G30" s="2292" t="s">
        <v>1827</v>
      </c>
      <c r="H30" s="2301"/>
      <c r="I30" s="2301"/>
      <c r="J30" s="2301"/>
      <c r="K30" s="2302"/>
    </row>
    <row r="31" spans="1:11" ht="48" customHeight="1" thickTop="1">
      <c r="A31" s="23">
        <f>1+A30</f>
        <v>2</v>
      </c>
      <c r="B31" s="38" t="s">
        <v>2173</v>
      </c>
      <c r="C31" s="1779" t="str">
        <f>IF(InScope,  IF(Adversarial, "0-4+    (Very Low)", "N/A"), "Out of Scope")</f>
        <v>0-4+    (Very Low)</v>
      </c>
      <c r="D31" s="42">
        <v>0</v>
      </c>
      <c r="E31" s="42">
        <v>5</v>
      </c>
      <c r="F31" s="42">
        <v>3</v>
      </c>
      <c r="G31" s="2241" t="s">
        <v>1833</v>
      </c>
      <c r="H31" s="2242"/>
      <c r="I31" s="2242"/>
      <c r="J31" s="2242"/>
      <c r="K31" s="2243"/>
    </row>
    <row r="32" spans="1:11" ht="48" customHeight="1">
      <c r="A32" s="23">
        <f>1+A31</f>
        <v>3</v>
      </c>
      <c r="B32" s="38" t="s">
        <v>2174</v>
      </c>
      <c r="C32" s="1780" t="str">
        <f>IF(InScope,  IF(Adversarial, "5-20+   (Low)", "N/A"), "Out of Scope")</f>
        <v>5-20+   (Low)</v>
      </c>
      <c r="D32" s="20">
        <v>5</v>
      </c>
      <c r="E32" s="20">
        <v>21</v>
      </c>
      <c r="F32" s="20">
        <v>13</v>
      </c>
      <c r="G32" s="2265" t="s">
        <v>1834</v>
      </c>
      <c r="H32" s="2266"/>
      <c r="I32" s="2266"/>
      <c r="J32" s="2266"/>
      <c r="K32" s="2267"/>
    </row>
    <row r="33" spans="1:11" ht="48" customHeight="1">
      <c r="A33" s="23">
        <f>1+A32</f>
        <v>4</v>
      </c>
      <c r="B33" s="38" t="s">
        <v>2175</v>
      </c>
      <c r="C33" s="1780" t="str">
        <f>IF(InScope,   IF(Adversarial, "21-79+  (Moderate)", "N/A"), "Out of Scope")</f>
        <v>21-79+  (Moderate)</v>
      </c>
      <c r="D33" s="20">
        <v>21</v>
      </c>
      <c r="E33" s="20">
        <v>80</v>
      </c>
      <c r="F33" s="20">
        <v>51</v>
      </c>
      <c r="G33" s="2265" t="s">
        <v>1835</v>
      </c>
      <c r="H33" s="2266"/>
      <c r="I33" s="2266"/>
      <c r="J33" s="2266"/>
      <c r="K33" s="2267"/>
    </row>
    <row r="34" spans="1:11" ht="48" customHeight="1" thickBot="1">
      <c r="A34" s="23">
        <f>1+A33</f>
        <v>5</v>
      </c>
      <c r="B34" s="38" t="s">
        <v>2176</v>
      </c>
      <c r="C34" s="1780" t="str">
        <f>IF(InScope,   IF(Adversarial, "80-95+  (High)", "N/A"),"Out of Scope")</f>
        <v>80-95+  (High)</v>
      </c>
      <c r="D34" s="20">
        <v>80</v>
      </c>
      <c r="E34" s="20">
        <v>96</v>
      </c>
      <c r="F34" s="20">
        <v>88</v>
      </c>
      <c r="G34" s="2265" t="s">
        <v>1836</v>
      </c>
      <c r="H34" s="2266"/>
      <c r="I34" s="2266"/>
      <c r="J34" s="2266"/>
      <c r="K34" s="2267"/>
    </row>
    <row r="35" spans="1:11" ht="48" customHeight="1" thickTop="1" thickBot="1">
      <c r="A35" s="23">
        <f>1+A34</f>
        <v>6</v>
      </c>
      <c r="B35" s="38" t="s">
        <v>2177</v>
      </c>
      <c r="C35" s="1781" t="str">
        <f>IF(InScope,   IF(Adversarial, "96-100  (Very High)", "N/A"), "Out of Scope")</f>
        <v>96-100  (Very High)</v>
      </c>
      <c r="D35" s="4">
        <v>96</v>
      </c>
      <c r="E35" s="4">
        <v>100</v>
      </c>
      <c r="F35" s="4">
        <v>98</v>
      </c>
      <c r="G35" s="2244" t="s">
        <v>1837</v>
      </c>
      <c r="H35" s="2245"/>
      <c r="I35" s="2245"/>
      <c r="J35" s="2245"/>
      <c r="K35" s="2246"/>
    </row>
    <row r="36" spans="1:11" ht="15" thickTop="1">
      <c r="A36" s="23"/>
      <c r="B36" s="38" t="s">
        <v>2178</v>
      </c>
      <c r="C36" t="s">
        <v>408</v>
      </c>
      <c r="F36" s="23" t="s">
        <v>408</v>
      </c>
      <c r="G36" t="s">
        <v>408</v>
      </c>
    </row>
    <row r="37" spans="1:11">
      <c r="A37" s="23"/>
    </row>
    <row r="38" spans="1:11">
      <c r="A38" s="23"/>
      <c r="G38" s="23"/>
      <c r="H38" s="23"/>
      <c r="K38" s="43"/>
    </row>
    <row r="57" spans="10:10">
      <c r="J57" s="43"/>
    </row>
  </sheetData>
  <mergeCells count="12">
    <mergeCell ref="G34:K34"/>
    <mergeCell ref="G35:K35"/>
    <mergeCell ref="G29:K29"/>
    <mergeCell ref="G30:K30"/>
    <mergeCell ref="G31:K31"/>
    <mergeCell ref="G32:K32"/>
    <mergeCell ref="G33:K33"/>
    <mergeCell ref="F2:H2"/>
    <mergeCell ref="F4:H4"/>
    <mergeCell ref="F9:H9"/>
    <mergeCell ref="C2:D4"/>
    <mergeCell ref="C5:D5"/>
  </mergeCells>
  <conditionalFormatting sqref="D6">
    <cfRule type="expression" dxfId="153" priority="2">
      <formula>SME_Rating_D5</formula>
    </cfRule>
  </conditionalFormatting>
  <conditionalFormatting sqref="C5:D5">
    <cfRule type="expression" dxfId="152" priority="1">
      <formula>SME_Rating_D5</formula>
    </cfRule>
  </conditionalFormatting>
  <conditionalFormatting sqref="D7">
    <cfRule type="expression" dxfId="151" priority="3">
      <formula>SME_Rating_D5</formula>
    </cfRule>
  </conditionalFormatting>
  <dataValidations count="3">
    <dataValidation type="list" allowBlank="1" showInputMessage="1" sqref="D7" xr:uid="{00000000-0002-0000-0E00-000000000000}">
      <formula1>"+MeanValue_D5"</formula1>
    </dataValidation>
    <dataValidation type="list" allowBlank="1" showErrorMessage="1" sqref="C7" xr:uid="{00000000-0002-0000-0E00-000001000000}">
      <formula1>$C$30:$C$35</formula1>
    </dataValidation>
    <dataValidation type="list" allowBlank="1" showInputMessage="1" showErrorMessage="1" sqref="F7" xr:uid="{00000000-0002-0000-0E00-000002000000}">
      <formula1 xml:space="preserve"> C30:C36</formula1>
    </dataValidation>
  </dataValidations>
  <pageMargins left="0.7" right="0.7" top="0.75" bottom="0.75" header="0.3" footer="0.3"/>
  <pageSetup orientation="portrait" r:id="rId1"/>
  <drawing r:id="rId2"/>
  <legacyDrawing r:id="rId3"/>
  <extLst>
    <ext xmlns:x14="http://schemas.microsoft.com/office/spreadsheetml/2009/9/main" uri="{78C0D931-6437-407d-A8EE-F0AAD7539E65}">
      <x14:conditionalFormattings>
        <x14:conditionalFormatting xmlns:xm="http://schemas.microsoft.com/office/excel/2006/main">
          <x14:cfRule type="containsText" priority="4" operator="containsText" text="(Very Low)" id="{6D8DDD59-4129-41E0-846D-3BE1940A91ED}">
            <xm:f>NOT(ISERROR(SEARCH("(Very Low)",'D3'!C7)))</xm:f>
            <x14:dxf>
              <font>
                <b/>
                <i val="0"/>
              </font>
              <fill>
                <patternFill>
                  <bgColor rgb="FF92D050"/>
                </patternFill>
              </fill>
            </x14:dxf>
          </x14:cfRule>
          <x14:cfRule type="containsText" priority="5" operator="containsText" text="(Low)" id="{0F9C41DF-8354-4D9C-88A7-C0117B177BD0}">
            <xm:f>NOT(ISERROR(SEARCH("(Low)",'D3'!C7)))</xm:f>
            <x14:dxf>
              <font>
                <b/>
                <i val="0"/>
              </font>
              <fill>
                <patternFill>
                  <bgColor theme="9" tint="0.59996337778862885"/>
                </patternFill>
              </fill>
            </x14:dxf>
          </x14:cfRule>
          <x14:cfRule type="containsText" priority="6" operator="containsText" text="Moderate" id="{5EC57941-AE77-45BC-90C4-F1A08F9237C1}">
            <xm:f>NOT(ISERROR(SEARCH("Moderate",'D3'!C7)))</xm:f>
            <x14:dxf>
              <font>
                <b/>
                <i val="0"/>
              </font>
              <fill>
                <patternFill>
                  <bgColor rgb="FFFFFF00"/>
                </patternFill>
              </fill>
            </x14:dxf>
          </x14:cfRule>
          <x14:cfRule type="containsText" priority="7" operator="containsText" text="(High)" id="{75E3148C-AAC6-4ECD-A267-B9C1108BFDD6}">
            <xm:f>NOT(ISERROR(SEARCH("(High)",'D3'!C7)))</xm:f>
            <x14:dxf>
              <font>
                <b/>
                <i val="0"/>
              </font>
              <fill>
                <patternFill>
                  <bgColor rgb="FFFF7C80"/>
                </patternFill>
              </fill>
            </x14:dxf>
          </x14:cfRule>
          <x14:cfRule type="containsText" priority="8" operator="containsText" text="(Very High)" id="{5836F7B8-A7A9-49BB-92B1-38809DFAB681}">
            <xm:f>NOT(ISERROR(SEARCH("(Very High)",'D3'!C7)))</xm:f>
            <x14:dxf>
              <font>
                <b/>
                <i val="0"/>
              </font>
              <fill>
                <patternFill>
                  <bgColor rgb="FFFF0000"/>
                </patternFill>
              </fill>
            </x14:dxf>
          </x14:cfRule>
          <xm:sqref>C7</xm:sqref>
        </x14:conditionalFormatting>
        <x14:conditionalFormatting xmlns:xm="http://schemas.microsoft.com/office/excel/2006/main">
          <x14:cfRule type="expression" priority="2454" id="{9198879D-56ED-43D6-AB96-C25D10B27C48}">
            <xm:f>OR(AND(IF('D3'!$C$7='D3'!$C$31,1,0),OR(IF('D3'!$D$7&lt;'D3'!$D$31,1,0),IF('D3'!$D$7&gt;='D3'!$E$31,1,0))),  AND(IF('D3'!$C$7='D3'!$C$32,1,0),OR(IF('D3'!$D$7&lt;'D3'!$D$32,1,0),IF('D3'!$D$7&gt;='D3'!$E$32,1,0))),  AND(IF('D3'!$C$7='D3'!$C$33,1,0),OR(IF('D3'!$D$7&lt;'D3'!$D$33,1,0),IF('D3'!$D$7&gt;='D3'!$E$33,1,0))),  AND(IF('D3'!$C$7='D3'!$C$34,1,0),OR(IF('D3'!$D$7&lt;'D3'!$D$34,1,0),IF('D3'!$D$7&gt;='D3'!$E$34,1,0))),  AND(IF('D3'!$C$7='D3'!$C$35,1,0),OR(IF('D3'!$D$7&lt;'D3'!$D$35,1,0),IF('D3'!$D$7&gt;'D3'!$E$35&gt;'D3'!#REF!,1,0))))</xm:f>
            <x14:dxf>
              <font>
                <b/>
                <i val="0"/>
                <strike val="0"/>
                <color rgb="FFC00000"/>
              </font>
              <fill>
                <patternFill>
                  <bgColor rgb="FFFFC000"/>
                </patternFill>
              </fill>
            </x14:dxf>
          </x14:cfRule>
          <xm:sqref>D7</xm:sqref>
        </x14:conditionalFormatting>
      </x14:conditionalFormattings>
    </ext>
  </extLst>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FFC000"/>
  </sheetPr>
  <dimension ref="A1:N37"/>
  <sheetViews>
    <sheetView workbookViewId="0">
      <selection activeCell="I17" sqref="I17"/>
    </sheetView>
  </sheetViews>
  <sheetFormatPr defaultRowHeight="14.6"/>
  <cols>
    <col min="3" max="4" width="24.69140625" customWidth="1"/>
    <col min="5" max="5" width="20.69140625" customWidth="1"/>
    <col min="6" max="6" width="22.69140625" customWidth="1"/>
    <col min="7" max="10" width="20.69140625" customWidth="1"/>
    <col min="11" max="11" width="157.15234375" customWidth="1"/>
    <col min="12" max="13" width="20.69140625" customWidth="1"/>
    <col min="14" max="16" width="24.69140625" customWidth="1"/>
    <col min="26" max="26" width="16.69140625" customWidth="1"/>
  </cols>
  <sheetData>
    <row r="1" spans="1:14" ht="15" thickBot="1"/>
    <row r="2" spans="1:14" ht="76.5" customHeight="1" thickTop="1">
      <c r="C2" s="2271" t="e">
        <f>VLOOKUP($C$7,$C$30:$G$35,5,FALSE)</f>
        <v>#N/A</v>
      </c>
      <c r="D2" s="2272"/>
      <c r="F2" s="2282" t="str">
        <f>VLOOKUP(Work!$X$8,'D6'!$C$30:$G$35,5,FALSE)</f>
        <v>Help:  Select an [Adversarial Capability] and then accept /change the [SME Rating?] value</v>
      </c>
      <c r="G2" s="2283"/>
      <c r="H2" s="2284"/>
    </row>
    <row r="3" spans="1:14" ht="16.5" customHeight="1" thickBot="1">
      <c r="C3" s="2273"/>
      <c r="D3" s="2274"/>
      <c r="F3" s="1279"/>
      <c r="H3" s="1280"/>
      <c r="J3" s="2303" t="s">
        <v>1693</v>
      </c>
      <c r="K3" s="2303"/>
      <c r="L3" s="2303"/>
    </row>
    <row r="4" spans="1:14" ht="15" thickBot="1">
      <c r="C4" s="2275"/>
      <c r="D4" s="2276"/>
      <c r="F4" s="2279" t="str">
        <f>IF(SmeRatingD6,"D6_Error: Click for Mean Value or Redo SME Rating","")</f>
        <v>D6_Error: Click for Mean Value or Redo SME Rating</v>
      </c>
      <c r="G4" s="2280"/>
      <c r="H4" s="2281"/>
    </row>
    <row r="5" spans="1:14" ht="15" thickBot="1">
      <c r="C5" s="2277" t="e">
        <f>IF(SME_Rating_D6,"Error: Click for Mean Value or Redo SME Rating","")</f>
        <v>#VALUE!</v>
      </c>
      <c r="D5" s="2278"/>
      <c r="F5" s="1279"/>
      <c r="H5" s="1545"/>
    </row>
    <row r="6" spans="1:14" ht="15.45" thickTop="1" thickBot="1">
      <c r="C6" s="44" t="s">
        <v>149</v>
      </c>
      <c r="D6" s="51" t="s">
        <v>135</v>
      </c>
      <c r="F6" s="1279"/>
      <c r="H6" s="1538" t="s">
        <v>179</v>
      </c>
      <c r="J6" s="1538" t="s">
        <v>179</v>
      </c>
    </row>
    <row r="7" spans="1:14" ht="15.45" thickTop="1" thickBot="1">
      <c r="C7" s="36" t="s">
        <v>148</v>
      </c>
      <c r="D7" s="53" t="e">
        <f>+MeanValue_D4</f>
        <v>#VALUE!</v>
      </c>
      <c r="F7" s="1540" t="s">
        <v>131</v>
      </c>
      <c r="G7" s="1539" t="s">
        <v>1696</v>
      </c>
      <c r="H7" s="20" t="str">
        <f>IF(InScope, IF( OR(Adversarial,(Work!$X$8='D6'!$C$30) ),"N/A",VALUE(CONCATENATE("0",IF(Work!$X$8='D6'!$C$31,3,""),IF(Work!$X$8='D6'!$C$32,13,""),IF(Work!$X$8='D6'!$C$33,51,""),IF(Work!$X$8='D6'!$C$34,88,""),IF(Work!$X$8='D6'!$C$35,98,"")))), "Out of Scope")</f>
        <v>N/A</v>
      </c>
      <c r="J7" s="20" t="str">
        <f>IF(InScope, IF( OR(Adversarial,(Work!$X$8='D6'!$C$30) ),"N/A",VALUE(CONCATENATE("0",IF(Work!$X$8='D6'!$C$31,3,""),IF(Work!$X$8='D6'!$C$32,13,""),IF(Work!$X$8='D6'!$C$33,51,""),IF(Work!$X$8='D6'!$C$34,88,""),IF(Work!$X$8='D6'!$C$35,98,"")))), "Out of Scope")</f>
        <v>N/A</v>
      </c>
    </row>
    <row r="8" spans="1:14" ht="15" thickTop="1">
      <c r="F8" s="1279"/>
      <c r="H8" s="1782" t="str">
        <f>IF(InScope, "", "Out of Scope")</f>
        <v/>
      </c>
      <c r="J8" s="1783" t="str">
        <f>IF(InScope, "", "Out of Scope")</f>
        <v/>
      </c>
      <c r="L8" s="45"/>
      <c r="M8" s="45"/>
      <c r="N8" s="45"/>
    </row>
    <row r="9" spans="1:14">
      <c r="A9">
        <v>1</v>
      </c>
      <c r="F9" s="1279"/>
      <c r="G9" s="1935"/>
      <c r="H9" s="1280"/>
    </row>
    <row r="10" spans="1:14" ht="15" thickBot="1">
      <c r="A10">
        <f>1+A9</f>
        <v>2</v>
      </c>
      <c r="F10" s="1282"/>
      <c r="G10" s="1283"/>
      <c r="H10" s="1284"/>
    </row>
    <row r="11" spans="1:14" ht="15" thickTop="1">
      <c r="A11">
        <f>1+A10</f>
        <v>3</v>
      </c>
    </row>
    <row r="12" spans="1:14">
      <c r="A12">
        <f t="shared" ref="A12:A28" si="0">1+A11</f>
        <v>4</v>
      </c>
    </row>
    <row r="13" spans="1:14">
      <c r="A13">
        <f t="shared" si="0"/>
        <v>5</v>
      </c>
    </row>
    <row r="14" spans="1:14">
      <c r="A14">
        <f t="shared" si="0"/>
        <v>6</v>
      </c>
    </row>
    <row r="15" spans="1:14">
      <c r="A15">
        <f t="shared" si="0"/>
        <v>7</v>
      </c>
    </row>
    <row r="16" spans="1:14">
      <c r="A16">
        <f t="shared" si="0"/>
        <v>8</v>
      </c>
    </row>
    <row r="17" spans="1:11">
      <c r="A17">
        <f t="shared" si="0"/>
        <v>9</v>
      </c>
    </row>
    <row r="18" spans="1:11">
      <c r="A18">
        <f t="shared" si="0"/>
        <v>10</v>
      </c>
    </row>
    <row r="19" spans="1:11">
      <c r="A19">
        <f t="shared" si="0"/>
        <v>11</v>
      </c>
    </row>
    <row r="20" spans="1:11">
      <c r="A20">
        <f t="shared" si="0"/>
        <v>12</v>
      </c>
    </row>
    <row r="21" spans="1:11">
      <c r="A21">
        <f t="shared" si="0"/>
        <v>13</v>
      </c>
    </row>
    <row r="22" spans="1:11">
      <c r="A22">
        <f t="shared" si="0"/>
        <v>14</v>
      </c>
    </row>
    <row r="23" spans="1:11">
      <c r="A23">
        <f t="shared" si="0"/>
        <v>15</v>
      </c>
    </row>
    <row r="24" spans="1:11">
      <c r="A24">
        <f t="shared" si="0"/>
        <v>16</v>
      </c>
    </row>
    <row r="25" spans="1:11">
      <c r="A25">
        <f t="shared" si="0"/>
        <v>17</v>
      </c>
    </row>
    <row r="26" spans="1:11">
      <c r="A26">
        <f t="shared" si="0"/>
        <v>18</v>
      </c>
    </row>
    <row r="27" spans="1:11">
      <c r="A27">
        <f t="shared" si="0"/>
        <v>19</v>
      </c>
    </row>
    <row r="28" spans="1:11" ht="15" thickBot="1">
      <c r="A28">
        <f t="shared" si="0"/>
        <v>20</v>
      </c>
    </row>
    <row r="29" spans="1:11" ht="48" customHeight="1" thickTop="1" thickBot="1">
      <c r="C29" s="1621" t="s">
        <v>48</v>
      </c>
      <c r="D29" s="1681" t="s">
        <v>103</v>
      </c>
      <c r="E29" s="1681" t="s">
        <v>104</v>
      </c>
      <c r="F29" s="1681" t="s">
        <v>117</v>
      </c>
      <c r="G29" s="1682" t="s">
        <v>102</v>
      </c>
      <c r="H29" s="1675"/>
      <c r="I29" s="1675"/>
      <c r="J29" s="1675"/>
      <c r="K29" s="1676"/>
    </row>
    <row r="30" spans="1:11" ht="48" customHeight="1" thickTop="1" thickBot="1">
      <c r="A30" s="23">
        <v>1</v>
      </c>
      <c r="B30" s="38" t="s">
        <v>136</v>
      </c>
      <c r="C30" s="1778" t="str">
        <f>IF(InScope,   IF(Adversarial, "N/A",  "-1       Help (n/a)" ), "Out of Scope")</f>
        <v>N/A</v>
      </c>
      <c r="D30" s="1677">
        <v>-3</v>
      </c>
      <c r="E30" s="1677">
        <v>-1</v>
      </c>
      <c r="F30" s="1677">
        <v>-2</v>
      </c>
      <c r="G30" s="2292" t="s">
        <v>127</v>
      </c>
      <c r="H30" s="2301"/>
      <c r="I30" s="2301"/>
      <c r="J30" s="2301"/>
      <c r="K30" s="2302"/>
    </row>
    <row r="31" spans="1:11" ht="48" customHeight="1" thickTop="1">
      <c r="A31" s="23">
        <f>1+A30</f>
        <v>2</v>
      </c>
      <c r="B31" s="38" t="s">
        <v>137</v>
      </c>
      <c r="C31" s="1779" t="str">
        <f>IF(InScope, IF(Adversarial, "N/A", "0-4+    (Very Low)"),   "Out of Scope")</f>
        <v>N/A</v>
      </c>
      <c r="D31" s="1678">
        <v>0</v>
      </c>
      <c r="E31" s="1678">
        <v>5</v>
      </c>
      <c r="F31" s="1678">
        <v>3</v>
      </c>
      <c r="G31" s="2241" t="s">
        <v>1822</v>
      </c>
      <c r="H31" s="2242"/>
      <c r="I31" s="2242"/>
      <c r="J31" s="2242"/>
      <c r="K31" s="2243"/>
    </row>
    <row r="32" spans="1:11" ht="48" customHeight="1">
      <c r="A32" s="23">
        <f>1+A31</f>
        <v>3</v>
      </c>
      <c r="B32" s="38" t="s">
        <v>138</v>
      </c>
      <c r="C32" s="1780" t="str">
        <f>IF(InScope,  IF(Adversarial, "N/A", "5-20+   (Low)"), "Out of Scope")</f>
        <v>N/A</v>
      </c>
      <c r="D32" s="1679">
        <v>5</v>
      </c>
      <c r="E32" s="1679">
        <v>21</v>
      </c>
      <c r="F32" s="1679">
        <v>13</v>
      </c>
      <c r="G32" s="2265" t="s">
        <v>1823</v>
      </c>
      <c r="H32" s="2266"/>
      <c r="I32" s="2266"/>
      <c r="J32" s="2266"/>
      <c r="K32" s="2267"/>
    </row>
    <row r="33" spans="1:11" ht="48" customHeight="1">
      <c r="A33" s="23">
        <f>1+A32</f>
        <v>4</v>
      </c>
      <c r="B33" s="38" t="s">
        <v>139</v>
      </c>
      <c r="C33" s="1780" t="str">
        <f>IF(InScope,            IF(Adversarial, "N/A", "21-79+  (Moderate)"),       "Out of Scope")</f>
        <v>N/A</v>
      </c>
      <c r="D33" s="1679">
        <v>21</v>
      </c>
      <c r="E33" s="1679">
        <v>80</v>
      </c>
      <c r="F33" s="1679">
        <v>51</v>
      </c>
      <c r="G33" s="2265" t="s">
        <v>1824</v>
      </c>
      <c r="H33" s="2266"/>
      <c r="I33" s="2266"/>
      <c r="J33" s="2266"/>
      <c r="K33" s="2267"/>
    </row>
    <row r="34" spans="1:11" ht="48" customHeight="1" thickBot="1">
      <c r="A34" s="23">
        <f>1+A33</f>
        <v>5</v>
      </c>
      <c r="B34" s="38" t="s">
        <v>140</v>
      </c>
      <c r="C34" s="1780" t="str">
        <f>IF(InScope,  IF(Adversarial, "N/A", "80-95+  (High)"), "Out of Scope")</f>
        <v>N/A</v>
      </c>
      <c r="D34" s="1679">
        <v>80</v>
      </c>
      <c r="E34" s="1679">
        <v>96</v>
      </c>
      <c r="F34" s="1679">
        <v>88</v>
      </c>
      <c r="G34" s="2265" t="s">
        <v>1825</v>
      </c>
      <c r="H34" s="2266"/>
      <c r="I34" s="2266"/>
      <c r="J34" s="2266"/>
      <c r="K34" s="2267"/>
    </row>
    <row r="35" spans="1:11" ht="48" customHeight="1" thickTop="1" thickBot="1">
      <c r="A35" s="23">
        <f>1+A34</f>
        <v>6</v>
      </c>
      <c r="B35" s="38" t="s">
        <v>141</v>
      </c>
      <c r="C35" s="1781" t="str">
        <f>IF(InScope,  IF(Adversarial, "N/A", "96-100  (Very High)"), "Out of Scope")</f>
        <v>N/A</v>
      </c>
      <c r="D35" s="1680">
        <v>96</v>
      </c>
      <c r="E35" s="1680">
        <v>100</v>
      </c>
      <c r="F35" s="1680">
        <v>98</v>
      </c>
      <c r="G35" s="2244" t="s">
        <v>1826</v>
      </c>
      <c r="H35" s="2245"/>
      <c r="I35" s="2245"/>
      <c r="J35" s="2245"/>
      <c r="K35" s="2246"/>
    </row>
    <row r="36" spans="1:11" ht="15.9" thickTop="1" thickBot="1">
      <c r="A36" s="23"/>
      <c r="C36" s="1781" t="str">
        <f>IF(InScope,  "N/A", "Out of Scope")</f>
        <v>N/A</v>
      </c>
      <c r="F36" s="1929">
        <v>0</v>
      </c>
      <c r="G36" t="s">
        <v>408</v>
      </c>
    </row>
    <row r="37" spans="1:11" ht="15" thickTop="1">
      <c r="A37" s="23"/>
    </row>
  </sheetData>
  <mergeCells count="11">
    <mergeCell ref="G35:K35"/>
    <mergeCell ref="G30:K30"/>
    <mergeCell ref="G31:K31"/>
    <mergeCell ref="G32:K32"/>
    <mergeCell ref="G33:K33"/>
    <mergeCell ref="G34:K34"/>
    <mergeCell ref="C2:D4"/>
    <mergeCell ref="C5:D5"/>
    <mergeCell ref="F2:H2"/>
    <mergeCell ref="F4:H4"/>
    <mergeCell ref="J3:L3"/>
  </mergeCells>
  <conditionalFormatting sqref="D6">
    <cfRule type="expression" dxfId="144" priority="2">
      <formula>SME_Rating_D6</formula>
    </cfRule>
  </conditionalFormatting>
  <conditionalFormatting sqref="C5:D5">
    <cfRule type="expression" dxfId="143" priority="1">
      <formula>SME_Rating_D6</formula>
    </cfRule>
  </conditionalFormatting>
  <conditionalFormatting sqref="D7">
    <cfRule type="expression" dxfId="142" priority="3">
      <formula>SME_Rating_D6</formula>
    </cfRule>
  </conditionalFormatting>
  <dataValidations count="3">
    <dataValidation type="list" allowBlank="1" showErrorMessage="1" sqref="C7" xr:uid="{00000000-0002-0000-0F00-000000000000}">
      <formula1>$C$30:$C$35</formula1>
    </dataValidation>
    <dataValidation type="list" allowBlank="1" showInputMessage="1" sqref="D7" xr:uid="{00000000-0002-0000-0F00-000001000000}">
      <formula1>"+MeanValue_D4"</formula1>
    </dataValidation>
    <dataValidation type="list" allowBlank="1" showInputMessage="1" showErrorMessage="1" sqref="F7" xr:uid="{00000000-0002-0000-0F00-000002000000}">
      <formula1 xml:space="preserve"> C30:C36</formula1>
    </dataValidation>
  </dataValidations>
  <pageMargins left="0.7" right="0.7" top="0.75" bottom="0.75" header="0.3" footer="0.3"/>
  <drawing r:id="rId1"/>
  <legacyDrawing r:id="rId2"/>
  <extLst>
    <ext xmlns:x14="http://schemas.microsoft.com/office/spreadsheetml/2009/9/main" uri="{78C0D931-6437-407d-A8EE-F0AAD7539E65}">
      <x14:conditionalFormattings>
        <x14:conditionalFormatting xmlns:xm="http://schemas.microsoft.com/office/excel/2006/main">
          <x14:cfRule type="containsText" priority="4" operator="containsText" text="(Very Low)" id="{A9FDD305-1B14-4F87-AD45-7E06CD72A722}">
            <xm:f>NOT(ISERROR(SEARCH("(Very Low)",'D3'!C7)))</xm:f>
            <x14:dxf>
              <font>
                <b/>
                <i val="0"/>
              </font>
              <fill>
                <patternFill>
                  <bgColor rgb="FF92D050"/>
                </patternFill>
              </fill>
            </x14:dxf>
          </x14:cfRule>
          <x14:cfRule type="containsText" priority="5" operator="containsText" text="(Low)" id="{40E1A64E-B952-4B36-947C-61397D47E5F8}">
            <xm:f>NOT(ISERROR(SEARCH("(Low)",'D3'!C7)))</xm:f>
            <x14:dxf>
              <font>
                <b/>
                <i val="0"/>
              </font>
              <fill>
                <patternFill>
                  <bgColor theme="9" tint="0.59996337778862885"/>
                </patternFill>
              </fill>
            </x14:dxf>
          </x14:cfRule>
          <x14:cfRule type="containsText" priority="6" operator="containsText" text="Moderate" id="{91F1DEC3-4761-4E1B-9B2E-86DA083BE3C9}">
            <xm:f>NOT(ISERROR(SEARCH("Moderate",'D3'!C7)))</xm:f>
            <x14:dxf>
              <font>
                <b/>
                <i val="0"/>
              </font>
              <fill>
                <patternFill>
                  <bgColor rgb="FFFFFF00"/>
                </patternFill>
              </fill>
            </x14:dxf>
          </x14:cfRule>
          <x14:cfRule type="containsText" priority="7" operator="containsText" text="(High)" id="{7B77B170-3303-43AC-844A-72ADB81CCF05}">
            <xm:f>NOT(ISERROR(SEARCH("(High)",'D3'!C7)))</xm:f>
            <x14:dxf>
              <font>
                <b/>
                <i val="0"/>
              </font>
              <fill>
                <patternFill>
                  <bgColor rgb="FFFF7C80"/>
                </patternFill>
              </fill>
            </x14:dxf>
          </x14:cfRule>
          <x14:cfRule type="containsText" priority="8" operator="containsText" text="(Very High)" id="{766AE445-42FE-4337-A735-694BDEC56770}">
            <xm:f>NOT(ISERROR(SEARCH("(Very High)",'D3'!C7)))</xm:f>
            <x14:dxf>
              <font>
                <b/>
                <i val="0"/>
              </font>
              <fill>
                <patternFill>
                  <bgColor rgb="FFFF0000"/>
                </patternFill>
              </fill>
            </x14:dxf>
          </x14:cfRule>
          <xm:sqref>C7</xm:sqref>
        </x14:conditionalFormatting>
        <x14:conditionalFormatting xmlns:xm="http://schemas.microsoft.com/office/excel/2006/main">
          <x14:cfRule type="expression" priority="2403" id="{445B7822-0995-46E2-92CC-0B1954A9D0CF}">
            <xm:f>OR(AND(IF('D3'!$C$7='D3'!$C$31,1,0),OR(IF('D3'!$D$7&lt;'D3'!$D$31,1,0),IF('D3'!$D$7&gt;='D3'!$E$31,1,0))),  AND(IF('D3'!$C$7='D3'!$C$32,1,0),OR(IF('D3'!$D$7&lt;'D3'!$D$32,1,0),IF('D3'!$D$7&gt;='D3'!$E$32,1,0))),  AND(IF('D3'!$C$7='D3'!$C$33,1,0),OR(IF('D3'!$D$7&lt;'D3'!$D$33,1,0),IF('D3'!$D$7&gt;='D3'!$E$33,1,0))),  AND(IF('D3'!$C$7='D3'!$C$34,1,0),OR(IF('D3'!$D$7&lt;'D3'!$D$34,1,0),IF('D3'!$D$7&gt;='D3'!$E$34,1,0))),  AND(IF('D3'!$C$7='D3'!$C$35,1,0),OR(IF('D3'!$D$7&lt;'D3'!$D$35,1,0),IF('D3'!$D$7&gt;'D3'!$E$35&gt;'D3'!#REF!,1,0))))</xm:f>
            <x14:dxf>
              <font>
                <b/>
                <i val="0"/>
                <strike val="0"/>
                <color rgb="FFC00000"/>
              </font>
              <fill>
                <patternFill>
                  <bgColor rgb="FFFFC000"/>
                </patternFill>
              </fill>
            </x14:dxf>
          </x14:cfRule>
          <xm:sqref>D7</xm:sqref>
        </x14:conditionalFormatting>
      </x14:conditionalFormattings>
    </ext>
  </extLs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rgb="FFFFC000"/>
  </sheetPr>
  <dimension ref="A1:O79"/>
  <sheetViews>
    <sheetView workbookViewId="0">
      <selection activeCell="B39" sqref="B39"/>
    </sheetView>
  </sheetViews>
  <sheetFormatPr defaultRowHeight="14.6"/>
  <cols>
    <col min="1" max="1" width="10.69140625" customWidth="1"/>
    <col min="2" max="2" width="60.69140625" customWidth="1"/>
    <col min="3" max="3" width="96.69140625" customWidth="1"/>
    <col min="4" max="4" width="88.3046875" customWidth="1"/>
    <col min="5" max="5" width="90.53515625" customWidth="1"/>
    <col min="6" max="6" width="122.3828125" customWidth="1"/>
    <col min="7" max="7" width="84.3828125" customWidth="1"/>
    <col min="8" max="8" width="119.69140625" customWidth="1"/>
    <col min="9" max="9" width="60.69140625" customWidth="1"/>
    <col min="10" max="10" width="125.15234375" customWidth="1"/>
    <col min="11" max="11" width="119.84375" customWidth="1"/>
    <col min="12" max="12" width="60.69140625" customWidth="1"/>
    <col min="13" max="14" width="32.69140625" customWidth="1"/>
    <col min="15" max="15" width="10.69140625" customWidth="1"/>
  </cols>
  <sheetData>
    <row r="1" spans="2:14" ht="15" thickBot="1"/>
    <row r="2" spans="2:14" ht="30" customHeight="1" thickTop="1">
      <c r="B2" s="2271" t="str">
        <f ca="1">OFFSET(E2_desc!$C$38,   VALUE(CONCATENATE(_xlfn.IFNA(MATCH('E2'!$C$7,'E2'!C39:C78,0),""),_xlfn.IFNA(MATCH('E2'!$C$7,'E2'!D39:D78,0),""), _xlfn.IFNA(MATCH('E2'!$C$7,'E2'!E39:E78,0),""), _xlfn.IFNA(MATCH('E2'!$C$7,'E2'!F39:F78,0),""),_xlfn.IFNA(MATCH('E2'!$C$7,'E2'!G39:G78,0),""),_xlfn.IFNA(MATCH('E2'!$C$7,'E2'!H39:H78,0),""),_xlfn.IFNA(MATCH('E2'!$C$7,'E2'!I39:I78,0),""),_xlfn.IFNA(MATCH('E2'!$C$7,'E2'!J39:J78,0),"") ) ),   MATCH('E2'!$B$7,E2_desc!C38:J38,0) -1 )</f>
        <v>Description: 
Adversary uses commercial or free software to scan organizational perimeters to obtain a better understanding of the information technology infrastructure and improve the ability to launch successful attacks.</v>
      </c>
      <c r="C2" s="2272"/>
    </row>
    <row r="3" spans="2:14" ht="30" customHeight="1">
      <c r="B3" s="2273"/>
      <c r="C3" s="2274"/>
    </row>
    <row r="4" spans="2:14" ht="30" customHeight="1" thickBot="1">
      <c r="B4" s="2304"/>
      <c r="C4" s="2305"/>
    </row>
    <row r="5" spans="2:14" ht="15.45" thickTop="1" thickBot="1">
      <c r="B5" s="2306" t="s">
        <v>724</v>
      </c>
      <c r="C5" s="2307"/>
    </row>
    <row r="6" spans="2:14" ht="15.45" thickTop="1" thickBot="1">
      <c r="B6" s="581" t="s">
        <v>744</v>
      </c>
      <c r="C6" s="51" t="s">
        <v>743</v>
      </c>
    </row>
    <row r="7" spans="2:14" ht="15.45" thickTop="1" thickBot="1">
      <c r="B7" s="539" t="s">
        <v>714</v>
      </c>
      <c r="C7" s="578" t="s">
        <v>343</v>
      </c>
    </row>
    <row r="8" spans="2:14" ht="15.45" thickTop="1" thickBot="1">
      <c r="B8" s="1827">
        <f>IF(MATCH(Work!$AC$8,'E2'!$C$18:$L$18,0)&lt;&gt;SUM( IF(_xlfn.IFNA(MATCH(Work!$AD$8,'E2'!$C$39:$C$78,0),0), 1,0),  IF(_xlfn.IFNA(MATCH(Work!$AD$8,'E2'!$D$39:$D$78,0),0), 2,0),  IF(_xlfn.IFNA(MATCH(Work!$AD$8,'E2'!$E$39:$E$78,0),0),3,0),   IF(_xlfn.IFNA(MATCH(Work!$AD$8,'E2'!$F$39:$F$78,0),0),4,0),   IF(_xlfn.IFNA(MATCH(Work!$AD$8,'E2'!$G$39:$G$78,0),0),5,0),  IF(_xlfn.IFNA(MATCH(Work!$AD$8,'E2'!$H$39:$H$78,0),0),6,0),  IF(_xlfn.IFNA(MATCH(Work!$AD$8,'E2'!$I$39:$I$78,0),0), 7,0),   IF(_xlfn.IFNA(MATCH(Work!$AD$8,'E2'!$J$39:$J$78,0),0),8,0),   IF(_xlfn.IFNA(MATCH(Work!$AD$8,'E2'!$K$39:$K$78,0),0),9,0),   IF(_xlfn.IFNA(MATCH(Work!$AD$8,'E2'!$L$39:$L$78,0),0),10,0) ),   1,0)</f>
        <v>0</v>
      </c>
    </row>
    <row r="9" spans="2:14" ht="15.9" thickTop="1" thickBot="1">
      <c r="B9" s="2311" t="s">
        <v>2086</v>
      </c>
      <c r="C9" s="2312"/>
      <c r="D9" s="2312"/>
      <c r="E9" s="2312"/>
      <c r="F9" s="2312"/>
      <c r="G9" s="2312"/>
      <c r="H9" s="2312"/>
      <c r="I9" s="2312"/>
    </row>
    <row r="10" spans="2:14" ht="15" thickTop="1">
      <c r="B10" s="1826" t="s">
        <v>2078</v>
      </c>
      <c r="C10" t="s">
        <v>2079</v>
      </c>
    </row>
    <row r="11" spans="2:14" ht="15" thickBot="1">
      <c r="B11" s="103" t="e">
        <f>CheckE2Val_DTABLES</f>
        <v>#NAME?</v>
      </c>
    </row>
    <row r="12" spans="2:14" ht="15.45" thickTop="1">
      <c r="B12" s="2308" t="s">
        <v>2086</v>
      </c>
      <c r="C12" s="2309"/>
      <c r="D12" s="2309"/>
      <c r="E12" s="2309"/>
      <c r="F12" s="2309"/>
      <c r="G12" s="2309"/>
      <c r="H12" s="2309"/>
    </row>
    <row r="13" spans="2:14" ht="27" customHeight="1">
      <c r="B13" s="2310">
        <f>IF(MATCH(Work!$AC$8,'E2'!$C$18:$L$18,0)&lt;&gt;SUM( IF(_xlfn.IFNA(MATCH(Work!$AD$8,'E2'!$C$39:$C$78,0),0), 1,0),  IF(_xlfn.IFNA(MATCH(Work!$AD$8,'E2'!$D$39:$D$78,0),0), 2,0),  IF(_xlfn.IFNA(MATCH(Work!$AD$8,'E2'!$E$39:$E$78,0),0),3,0),   IF(_xlfn.IFNA(MATCH(Work!$AD$8,'E2'!$F$39:$F$78,0),0),4,0),   IF(_xlfn.IFNA(MATCH(Work!$AD$8,'E2'!$G$39:$G$78,0),0),5,0),  IF(_xlfn.IFNA(MATCH(Work!$AD$8,'E2'!$H$39:$H$78,0),0),6,0),  IF(_xlfn.IFNA(MATCH(Work!$AD$8,'E2'!$I$39:$I$78,0),0), 7,0),   IF(_xlfn.IFNA(MATCH(Work!$AD$8,'E2'!$J$39:$J$78,0),0),8,0),   IF(_xlfn.IFNA(MATCH(Work!$AD$8,'E2'!$K$39:$K$78,0),0),9,0),   IF(_xlfn.IFNA(MATCH(Work!$AD$8,'E2'!$L$39:$L$78,0),0),10,0) ),   1,0)</f>
        <v>0</v>
      </c>
      <c r="C13" s="2310"/>
      <c r="D13" s="2310"/>
      <c r="E13" s="2310"/>
      <c r="F13" s="2310"/>
      <c r="G13" s="2310"/>
      <c r="H13" s="2310"/>
    </row>
    <row r="14" spans="2:14" ht="15" thickBot="1"/>
    <row r="15" spans="2:14" ht="15" thickTop="1">
      <c r="B15" s="1824" t="s">
        <v>1</v>
      </c>
      <c r="C15" s="38"/>
    </row>
    <row r="16" spans="2:14" ht="15" thickBot="1">
      <c r="B16" s="1801">
        <f>Adversarial</f>
        <v>1</v>
      </c>
      <c r="C16" s="23" t="s">
        <v>77</v>
      </c>
      <c r="D16" s="23" t="s">
        <v>78</v>
      </c>
      <c r="E16" s="23" t="s">
        <v>79</v>
      </c>
      <c r="F16" s="23" t="s">
        <v>80</v>
      </c>
      <c r="G16" s="23" t="s">
        <v>192</v>
      </c>
      <c r="H16" s="23" t="s">
        <v>725</v>
      </c>
      <c r="I16" s="23" t="s">
        <v>726</v>
      </c>
      <c r="J16" s="23" t="s">
        <v>732</v>
      </c>
      <c r="K16" s="23" t="s">
        <v>733</v>
      </c>
      <c r="L16" s="23" t="s">
        <v>1284</v>
      </c>
      <c r="M16" s="23"/>
      <c r="N16" s="23"/>
    </row>
    <row r="17" spans="1:15" ht="15.45" thickTop="1" thickBot="1">
      <c r="C17" s="120" t="s">
        <v>784</v>
      </c>
      <c r="D17" s="1" t="s">
        <v>0</v>
      </c>
    </row>
    <row r="18" spans="1:15" ht="15.45" thickTop="1" thickBot="1">
      <c r="B18" s="11" t="s">
        <v>724</v>
      </c>
      <c r="C18" s="585" t="s">
        <v>176</v>
      </c>
      <c r="D18" s="459" t="s">
        <v>714</v>
      </c>
      <c r="E18" s="459" t="s">
        <v>715</v>
      </c>
      <c r="F18" s="459" t="s">
        <v>455</v>
      </c>
      <c r="G18" s="459" t="s">
        <v>528</v>
      </c>
      <c r="H18" s="459" t="s">
        <v>590</v>
      </c>
      <c r="I18" s="460" t="s">
        <v>633</v>
      </c>
      <c r="J18" s="461" t="s">
        <v>660</v>
      </c>
      <c r="K18" s="462" t="s">
        <v>665</v>
      </c>
      <c r="L18" s="462" t="s">
        <v>1279</v>
      </c>
      <c r="M18" s="23"/>
      <c r="N18" s="23"/>
      <c r="O18" s="23"/>
    </row>
    <row r="19" spans="1:15" ht="15" thickTop="1">
      <c r="B19" s="884" t="s">
        <v>783</v>
      </c>
      <c r="C19" s="864" t="s">
        <v>781</v>
      </c>
      <c r="D19" s="470" t="s">
        <v>780</v>
      </c>
      <c r="E19" s="515" t="s">
        <v>779</v>
      </c>
      <c r="F19" s="119" t="s">
        <v>778</v>
      </c>
      <c r="G19" s="467" t="s">
        <v>777</v>
      </c>
      <c r="H19" s="470" t="s">
        <v>776</v>
      </c>
      <c r="I19" s="470" t="s">
        <v>775</v>
      </c>
      <c r="J19" s="470" t="s">
        <v>774</v>
      </c>
      <c r="K19" s="471" t="s">
        <v>1268</v>
      </c>
      <c r="L19" s="471" t="s">
        <v>1285</v>
      </c>
      <c r="M19" s="23"/>
      <c r="N19" s="23"/>
      <c r="O19" s="23"/>
    </row>
    <row r="20" spans="1:15" ht="15" thickBot="1">
      <c r="B20" s="1825"/>
      <c r="C20" s="865"/>
      <c r="D20" s="114"/>
      <c r="E20" s="516"/>
      <c r="F20" s="114"/>
      <c r="G20" s="114"/>
      <c r="H20" s="468"/>
      <c r="I20" s="114"/>
      <c r="J20" s="114"/>
      <c r="K20" s="117"/>
      <c r="L20" s="117"/>
      <c r="M20" s="23"/>
      <c r="N20" s="23"/>
      <c r="O20" s="23"/>
    </row>
    <row r="21" spans="1:15" ht="19.3" thickTop="1" thickBot="1">
      <c r="B21" s="514" t="s">
        <v>728</v>
      </c>
      <c r="C21" s="866" t="s">
        <v>2084</v>
      </c>
      <c r="D21" s="114"/>
      <c r="E21" s="516"/>
      <c r="F21" s="114"/>
      <c r="G21" s="114"/>
      <c r="H21" s="468"/>
      <c r="I21" s="114"/>
      <c r="J21" s="114"/>
      <c r="K21" s="117"/>
      <c r="L21" s="117"/>
      <c r="M21" s="23"/>
      <c r="N21" s="23"/>
      <c r="O21" s="23"/>
    </row>
    <row r="22" spans="1:15" ht="15.45" thickTop="1" thickBot="1">
      <c r="A22">
        <v>1</v>
      </c>
      <c r="B22" s="863" t="s">
        <v>408</v>
      </c>
      <c r="C22" s="867" t="s">
        <v>2080</v>
      </c>
      <c r="D22" s="114"/>
      <c r="E22" s="516"/>
      <c r="F22" s="114"/>
      <c r="G22" s="114"/>
      <c r="H22" s="468"/>
      <c r="I22" s="114"/>
      <c r="J22" s="114"/>
      <c r="K22" s="117"/>
      <c r="L22" s="117"/>
      <c r="M22" s="23"/>
      <c r="N22" s="23"/>
      <c r="O22" s="23"/>
    </row>
    <row r="23" spans="1:15" ht="15.45" thickTop="1" thickBot="1">
      <c r="A23">
        <v>2</v>
      </c>
      <c r="B23" s="460" t="s">
        <v>714</v>
      </c>
      <c r="C23" s="867">
        <f>MATCH(Work!$AC$8,'E2'!$C$18:$L$18,0)</f>
        <v>7</v>
      </c>
      <c r="D23" s="114"/>
      <c r="E23" s="23"/>
      <c r="F23" s="114"/>
      <c r="G23" s="516"/>
      <c r="H23" s="468"/>
      <c r="I23" s="114"/>
      <c r="J23" s="114"/>
      <c r="K23" s="117"/>
      <c r="L23" s="117"/>
      <c r="M23" s="23"/>
      <c r="N23" s="23"/>
      <c r="O23" s="23"/>
    </row>
    <row r="24" spans="1:15" ht="15.45" thickTop="1" thickBot="1">
      <c r="A24">
        <v>3</v>
      </c>
      <c r="B24" s="460" t="s">
        <v>715</v>
      </c>
      <c r="C24" s="867"/>
      <c r="D24" s="114"/>
      <c r="E24" s="23"/>
      <c r="F24" s="114"/>
      <c r="G24" s="516"/>
      <c r="H24" s="468"/>
      <c r="I24" s="114"/>
      <c r="J24" s="114"/>
      <c r="K24" s="117"/>
      <c r="L24" s="117"/>
      <c r="M24" s="23"/>
      <c r="N24" s="23"/>
      <c r="O24" s="23"/>
    </row>
    <row r="25" spans="1:15" ht="15.45" thickTop="1" thickBot="1">
      <c r="A25">
        <v>4</v>
      </c>
      <c r="B25" s="460" t="s">
        <v>455</v>
      </c>
      <c r="C25" s="867" t="s">
        <v>2083</v>
      </c>
      <c r="D25" s="114"/>
      <c r="F25" s="517"/>
      <c r="G25" s="516"/>
      <c r="H25" s="468"/>
      <c r="I25" s="114"/>
      <c r="J25" s="114"/>
      <c r="K25" s="117"/>
      <c r="L25" s="117"/>
      <c r="M25" s="23"/>
      <c r="N25" s="23"/>
      <c r="O25" s="23"/>
    </row>
    <row r="26" spans="1:15" ht="15.45" thickTop="1" thickBot="1">
      <c r="A26">
        <v>5</v>
      </c>
      <c r="B26" s="460" t="s">
        <v>528</v>
      </c>
      <c r="C26" s="867" t="s">
        <v>2081</v>
      </c>
      <c r="D26" s="114"/>
      <c r="F26" s="517"/>
      <c r="G26" s="516"/>
      <c r="H26" s="468"/>
      <c r="I26" s="114"/>
      <c r="J26" s="114"/>
      <c r="K26" s="117"/>
      <c r="L26" s="117"/>
      <c r="M26" s="23"/>
      <c r="N26" s="23"/>
      <c r="O26" s="23"/>
    </row>
    <row r="27" spans="1:15" ht="15.45" thickTop="1" thickBot="1">
      <c r="A27">
        <v>6</v>
      </c>
      <c r="B27" s="460" t="s">
        <v>590</v>
      </c>
      <c r="C27" s="867">
        <f>IF(_xlfn.IFNA(MATCH(Work!$AD$8,'E2'!$C$39:$D$78,0),0), 2,0)</f>
        <v>0</v>
      </c>
      <c r="D27" s="114"/>
      <c r="F27" s="517"/>
      <c r="G27" s="516"/>
      <c r="H27" s="468"/>
      <c r="I27" s="114"/>
      <c r="J27" s="114"/>
      <c r="K27" s="117"/>
      <c r="L27" s="117"/>
      <c r="M27" s="23"/>
      <c r="N27" s="23"/>
      <c r="O27" s="23"/>
    </row>
    <row r="28" spans="1:15" ht="15.45" thickTop="1" thickBot="1">
      <c r="A28">
        <v>7</v>
      </c>
      <c r="B28" s="460" t="s">
        <v>633</v>
      </c>
      <c r="C28" s="867" t="s">
        <v>2082</v>
      </c>
      <c r="D28" s="114"/>
      <c r="F28" s="517"/>
      <c r="G28" s="516"/>
      <c r="H28" s="468"/>
      <c r="I28" s="114"/>
      <c r="J28" s="114"/>
      <c r="K28" s="117"/>
      <c r="L28" s="117"/>
      <c r="M28" s="23"/>
      <c r="N28" s="23"/>
      <c r="O28" s="23"/>
    </row>
    <row r="29" spans="1:15" ht="15.45" thickTop="1" thickBot="1">
      <c r="A29">
        <v>8</v>
      </c>
      <c r="B29" s="460" t="s">
        <v>660</v>
      </c>
      <c r="C29" s="867">
        <f>IF(_xlfn.IFNA(MATCH(Work!$AD$8,'E2'!$D$39:$D$78,0),0), 2,0)</f>
        <v>0</v>
      </c>
      <c r="D29" s="114"/>
      <c r="F29" s="517"/>
      <c r="G29" s="516"/>
      <c r="H29" s="468"/>
      <c r="I29" s="114"/>
      <c r="J29" s="114"/>
      <c r="K29" s="117"/>
      <c r="L29" s="117"/>
      <c r="M29" s="23"/>
      <c r="N29" s="23"/>
      <c r="O29" s="23"/>
    </row>
    <row r="30" spans="1:15" ht="15.45" thickTop="1" thickBot="1">
      <c r="A30">
        <v>9</v>
      </c>
      <c r="B30" s="460" t="s">
        <v>665</v>
      </c>
      <c r="C30" s="867" t="s">
        <v>2085</v>
      </c>
      <c r="D30" s="114"/>
      <c r="F30" s="517"/>
      <c r="G30" s="516"/>
      <c r="H30" s="468"/>
      <c r="I30" s="114"/>
      <c r="J30" s="114"/>
      <c r="K30" s="117"/>
      <c r="L30" s="117"/>
      <c r="M30" s="23"/>
      <c r="N30" s="23"/>
      <c r="O30" s="23"/>
    </row>
    <row r="31" spans="1:15" ht="15.45" thickTop="1" thickBot="1">
      <c r="A31">
        <v>10</v>
      </c>
      <c r="B31" s="861" t="s">
        <v>1279</v>
      </c>
      <c r="C31" s="867">
        <f>IF(_xlfn.IFNA(MATCH(Work!$AD$8,'E2'!$E$39:$E$78,0),0), 3,0)</f>
        <v>0</v>
      </c>
      <c r="D31" s="114"/>
      <c r="F31" s="517"/>
      <c r="G31" s="516"/>
      <c r="H31" s="468"/>
      <c r="I31" s="114"/>
      <c r="J31" s="114"/>
      <c r="K31" s="117"/>
      <c r="L31" s="117"/>
      <c r="M31" s="23"/>
      <c r="N31" s="23"/>
      <c r="O31" s="23"/>
    </row>
    <row r="32" spans="1:15" ht="15" thickTop="1">
      <c r="B32" s="885"/>
      <c r="C32" s="865"/>
      <c r="D32" s="114"/>
      <c r="F32" s="517"/>
      <c r="H32" s="468"/>
      <c r="I32" s="114"/>
      <c r="J32" s="114"/>
      <c r="K32" s="117"/>
      <c r="L32" s="117"/>
      <c r="M32" s="23"/>
      <c r="N32" s="23"/>
      <c r="O32" s="23"/>
    </row>
    <row r="33" spans="2:15">
      <c r="B33" s="885"/>
      <c r="C33" s="865"/>
      <c r="D33" s="114"/>
      <c r="F33" s="517"/>
      <c r="H33" s="468"/>
      <c r="I33" s="114"/>
      <c r="J33" s="114"/>
      <c r="K33" s="117"/>
      <c r="L33" s="117"/>
      <c r="M33" s="23"/>
      <c r="N33" s="23"/>
      <c r="O33" s="23"/>
    </row>
    <row r="34" spans="2:15">
      <c r="B34" s="885"/>
      <c r="C34" s="865"/>
      <c r="D34" s="114"/>
      <c r="F34" s="517"/>
      <c r="H34" s="468"/>
      <c r="I34" s="114"/>
      <c r="J34" s="114"/>
      <c r="K34" s="117"/>
      <c r="L34" s="117"/>
      <c r="M34" s="23"/>
      <c r="N34" s="23"/>
      <c r="O34" s="23"/>
    </row>
    <row r="35" spans="2:15" ht="15" thickBot="1">
      <c r="B35" s="885"/>
      <c r="C35" s="865"/>
      <c r="D35" s="114"/>
      <c r="F35" s="114"/>
      <c r="G35" s="516"/>
      <c r="H35" s="468"/>
      <c r="I35" s="114"/>
      <c r="J35" s="114"/>
      <c r="K35" s="117"/>
      <c r="L35" s="117"/>
      <c r="M35" s="23"/>
      <c r="N35" s="23"/>
      <c r="O35" s="23"/>
    </row>
    <row r="36" spans="2:15" ht="19.3" thickTop="1" thickBot="1">
      <c r="B36" s="885"/>
      <c r="C36" s="865"/>
      <c r="D36" s="472" t="s">
        <v>729</v>
      </c>
      <c r="E36" s="516"/>
      <c r="F36" s="114"/>
      <c r="G36" s="114"/>
      <c r="H36" s="468"/>
      <c r="I36" s="114"/>
      <c r="J36" s="114"/>
      <c r="K36" s="117"/>
      <c r="L36" s="117"/>
      <c r="M36" s="23"/>
      <c r="N36" s="23"/>
      <c r="O36" s="23"/>
    </row>
    <row r="37" spans="2:15" ht="15.45" thickTop="1" thickBot="1">
      <c r="C37" s="118" t="s">
        <v>800</v>
      </c>
      <c r="D37" s="118" t="s">
        <v>799</v>
      </c>
      <c r="E37" s="118" t="s">
        <v>798</v>
      </c>
      <c r="F37" s="118" t="s">
        <v>797</v>
      </c>
      <c r="G37" s="469" t="s">
        <v>796</v>
      </c>
      <c r="H37" s="869" t="s">
        <v>801</v>
      </c>
      <c r="I37" s="869" t="s">
        <v>802</v>
      </c>
      <c r="J37" s="869" t="s">
        <v>803</v>
      </c>
      <c r="K37" s="870" t="s">
        <v>1269</v>
      </c>
      <c r="L37" s="870" t="s">
        <v>1269</v>
      </c>
      <c r="M37" s="23"/>
      <c r="N37" s="23"/>
      <c r="O37" s="23"/>
    </row>
    <row r="38" spans="2:15" ht="15.45" thickTop="1" thickBot="1">
      <c r="C38" s="868" t="s">
        <v>408</v>
      </c>
      <c r="D38" s="459" t="s">
        <v>714</v>
      </c>
      <c r="E38" s="459" t="s">
        <v>715</v>
      </c>
      <c r="F38" s="459" t="s">
        <v>455</v>
      </c>
      <c r="G38" s="459" t="s">
        <v>528</v>
      </c>
      <c r="H38" s="459" t="s">
        <v>590</v>
      </c>
      <c r="I38" s="460" t="s">
        <v>633</v>
      </c>
      <c r="J38" s="461" t="s">
        <v>660</v>
      </c>
      <c r="K38" s="462" t="s">
        <v>665</v>
      </c>
      <c r="L38" s="462" t="s">
        <v>1279</v>
      </c>
      <c r="M38" s="23"/>
      <c r="N38" s="23"/>
      <c r="O38" s="23"/>
    </row>
    <row r="39" spans="2:15" ht="15" thickTop="1">
      <c r="C39" s="862" t="s">
        <v>408</v>
      </c>
      <c r="D39" s="12" t="s">
        <v>343</v>
      </c>
      <c r="E39" s="5" t="s">
        <v>406</v>
      </c>
      <c r="F39" s="111" t="s">
        <v>456</v>
      </c>
      <c r="G39" s="112" t="s">
        <v>529</v>
      </c>
      <c r="H39" s="466" t="s">
        <v>591</v>
      </c>
      <c r="I39" s="411" t="s">
        <v>634</v>
      </c>
      <c r="J39" s="466" t="s">
        <v>661</v>
      </c>
      <c r="K39" s="411" t="s">
        <v>666</v>
      </c>
      <c r="L39" s="892" t="s">
        <v>1279</v>
      </c>
    </row>
    <row r="40" spans="2:15">
      <c r="C40" s="859"/>
      <c r="D40" s="2" t="s">
        <v>357</v>
      </c>
      <c r="E40" s="10" t="s">
        <v>415</v>
      </c>
      <c r="F40" s="15" t="s">
        <v>465</v>
      </c>
      <c r="G40" s="3" t="s">
        <v>533</v>
      </c>
      <c r="H40" s="357" t="s">
        <v>593</v>
      </c>
      <c r="I40" s="341" t="s">
        <v>636</v>
      </c>
      <c r="J40" s="357" t="s">
        <v>663</v>
      </c>
      <c r="K40" s="341" t="s">
        <v>668</v>
      </c>
      <c r="L40" s="13"/>
    </row>
    <row r="41" spans="2:15">
      <c r="C41" s="859"/>
      <c r="D41" s="2" t="s">
        <v>369</v>
      </c>
      <c r="E41" s="465" t="s">
        <v>422</v>
      </c>
      <c r="F41" s="15" t="s">
        <v>471</v>
      </c>
      <c r="G41" s="473" t="s">
        <v>539</v>
      </c>
      <c r="H41" s="478" t="s">
        <v>595</v>
      </c>
      <c r="I41" s="341" t="s">
        <v>638</v>
      </c>
      <c r="J41" s="13"/>
      <c r="K41" s="341" t="s">
        <v>670</v>
      </c>
      <c r="L41" s="13"/>
    </row>
    <row r="42" spans="2:15">
      <c r="C42" s="859"/>
      <c r="D42" s="2" t="s">
        <v>381</v>
      </c>
      <c r="E42" s="465" t="s">
        <v>430</v>
      </c>
      <c r="F42" s="15" t="s">
        <v>477</v>
      </c>
      <c r="G42" s="475" t="s">
        <v>545</v>
      </c>
      <c r="H42" s="479" t="s">
        <v>597</v>
      </c>
      <c r="I42" s="341" t="s">
        <v>640</v>
      </c>
      <c r="J42" s="13"/>
      <c r="K42" s="341" t="s">
        <v>672</v>
      </c>
      <c r="L42" s="13"/>
    </row>
    <row r="43" spans="2:15" ht="18.45">
      <c r="C43" s="860"/>
      <c r="D43" s="2" t="s">
        <v>394</v>
      </c>
      <c r="E43" s="465" t="s">
        <v>438</v>
      </c>
      <c r="F43" s="15" t="s">
        <v>483</v>
      </c>
      <c r="G43" s="475" t="s">
        <v>550</v>
      </c>
      <c r="H43" s="479" t="s">
        <v>599</v>
      </c>
      <c r="I43" s="341" t="s">
        <v>642</v>
      </c>
      <c r="J43" s="13"/>
      <c r="K43" s="341" t="s">
        <v>720</v>
      </c>
      <c r="L43" s="13"/>
    </row>
    <row r="44" spans="2:15">
      <c r="C44" s="859"/>
      <c r="D44" s="463"/>
      <c r="E44" s="465" t="s">
        <v>446</v>
      </c>
      <c r="F44" s="15" t="s">
        <v>716</v>
      </c>
      <c r="G44" s="475" t="s">
        <v>554</v>
      </c>
      <c r="H44" s="479" t="s">
        <v>601</v>
      </c>
      <c r="I44" s="341" t="s">
        <v>644</v>
      </c>
      <c r="J44" s="13"/>
      <c r="K44" s="341" t="s">
        <v>676</v>
      </c>
      <c r="L44" s="13"/>
    </row>
    <row r="45" spans="2:15">
      <c r="C45" s="859"/>
      <c r="D45" s="463"/>
      <c r="E45" s="13"/>
      <c r="F45" s="15" t="s">
        <v>493</v>
      </c>
      <c r="G45" s="475" t="s">
        <v>558</v>
      </c>
      <c r="H45" s="479" t="s">
        <v>603</v>
      </c>
      <c r="I45" s="341" t="s">
        <v>646</v>
      </c>
      <c r="J45" s="13"/>
      <c r="K45" s="13"/>
      <c r="L45" s="13"/>
    </row>
    <row r="46" spans="2:15">
      <c r="C46" s="859"/>
      <c r="D46" s="463"/>
      <c r="E46" s="13"/>
      <c r="F46" s="15" t="s">
        <v>498</v>
      </c>
      <c r="G46" s="475" t="s">
        <v>562</v>
      </c>
      <c r="H46" s="479" t="s">
        <v>605</v>
      </c>
      <c r="I46" s="341" t="s">
        <v>648</v>
      </c>
      <c r="J46" s="13"/>
      <c r="K46" s="13"/>
      <c r="L46" s="13"/>
    </row>
    <row r="47" spans="2:15">
      <c r="C47" s="859"/>
      <c r="D47" s="463"/>
      <c r="E47" s="13"/>
      <c r="F47" s="15" t="s">
        <v>504</v>
      </c>
      <c r="G47" s="475" t="s">
        <v>567</v>
      </c>
      <c r="H47" s="480" t="s">
        <v>607</v>
      </c>
      <c r="I47" s="341" t="s">
        <v>650</v>
      </c>
      <c r="J47" s="13"/>
      <c r="K47" s="13"/>
      <c r="L47" s="13"/>
    </row>
    <row r="48" spans="2:15">
      <c r="C48" s="859"/>
      <c r="D48" s="463"/>
      <c r="E48" s="13"/>
      <c r="F48" s="15" t="s">
        <v>717</v>
      </c>
      <c r="G48" s="475" t="s">
        <v>719</v>
      </c>
      <c r="H48" s="479" t="s">
        <v>609</v>
      </c>
      <c r="I48" s="341" t="s">
        <v>652</v>
      </c>
      <c r="J48" s="13"/>
      <c r="K48" s="13"/>
      <c r="L48" s="13"/>
    </row>
    <row r="49" spans="3:12">
      <c r="C49" s="859"/>
      <c r="D49" s="464"/>
      <c r="E49" s="13"/>
      <c r="F49" s="15" t="s">
        <v>512</v>
      </c>
      <c r="G49" s="475" t="s">
        <v>573</v>
      </c>
      <c r="H49" s="479" t="s">
        <v>611</v>
      </c>
      <c r="I49" s="341" t="s">
        <v>654</v>
      </c>
      <c r="J49" s="13"/>
      <c r="K49" s="13"/>
      <c r="L49" s="13"/>
    </row>
    <row r="50" spans="3:12">
      <c r="C50" s="859"/>
      <c r="D50" s="13"/>
      <c r="E50" s="13"/>
      <c r="F50" s="15" t="s">
        <v>516</v>
      </c>
      <c r="G50" s="475" t="s">
        <v>576</v>
      </c>
      <c r="H50" s="479" t="s">
        <v>613</v>
      </c>
      <c r="I50" s="341" t="s">
        <v>656</v>
      </c>
      <c r="J50" s="13"/>
      <c r="K50" s="13"/>
      <c r="L50" s="13"/>
    </row>
    <row r="51" spans="3:12">
      <c r="C51" s="859"/>
      <c r="D51" s="13"/>
      <c r="E51" s="13"/>
      <c r="F51" s="9" t="s">
        <v>718</v>
      </c>
      <c r="G51" s="476" t="s">
        <v>579</v>
      </c>
      <c r="H51" s="479" t="s">
        <v>615</v>
      </c>
      <c r="I51" s="341" t="s">
        <v>658</v>
      </c>
      <c r="J51" s="13"/>
      <c r="K51" s="13"/>
      <c r="L51" s="13"/>
    </row>
    <row r="52" spans="3:12">
      <c r="C52" s="859"/>
      <c r="D52" s="13"/>
      <c r="E52" s="13"/>
      <c r="F52" s="8" t="s">
        <v>522</v>
      </c>
      <c r="G52" s="477" t="s">
        <v>582</v>
      </c>
      <c r="H52" s="479" t="s">
        <v>617</v>
      </c>
      <c r="I52" s="13"/>
      <c r="J52" s="13"/>
      <c r="K52" s="13"/>
      <c r="L52" s="13"/>
    </row>
    <row r="53" spans="3:12">
      <c r="C53" s="859"/>
      <c r="D53" s="13"/>
      <c r="E53" s="13"/>
      <c r="F53" s="13"/>
      <c r="G53" s="477" t="s">
        <v>584</v>
      </c>
      <c r="H53" s="479" t="s">
        <v>619</v>
      </c>
      <c r="I53" s="13"/>
      <c r="J53" s="13"/>
      <c r="K53" s="13"/>
      <c r="L53" s="13"/>
    </row>
    <row r="54" spans="3:12">
      <c r="C54" s="859"/>
      <c r="D54" s="13"/>
      <c r="E54" s="13"/>
      <c r="F54" s="13"/>
      <c r="G54" s="477" t="s">
        <v>586</v>
      </c>
      <c r="H54" s="479" t="s">
        <v>621</v>
      </c>
      <c r="I54" s="13"/>
      <c r="J54" s="13"/>
      <c r="K54" s="13"/>
      <c r="L54" s="13"/>
    </row>
    <row r="55" spans="3:12">
      <c r="C55" s="859"/>
      <c r="D55" s="13"/>
      <c r="E55" s="13"/>
      <c r="F55" s="13"/>
      <c r="G55" s="477" t="s">
        <v>588</v>
      </c>
      <c r="H55" s="479" t="s">
        <v>623</v>
      </c>
      <c r="I55" s="13"/>
      <c r="J55" s="13"/>
      <c r="K55" s="13"/>
      <c r="L55" s="13"/>
    </row>
    <row r="56" spans="3:12">
      <c r="C56" s="859"/>
      <c r="D56" s="13"/>
      <c r="E56" s="13"/>
      <c r="F56" s="13"/>
      <c r="G56" s="46"/>
      <c r="H56" s="479" t="s">
        <v>625</v>
      </c>
      <c r="I56" s="13"/>
      <c r="J56" s="13"/>
      <c r="K56" s="13"/>
      <c r="L56" s="13"/>
    </row>
    <row r="57" spans="3:12">
      <c r="C57" s="859"/>
      <c r="D57" s="13"/>
      <c r="E57" s="13"/>
      <c r="F57" s="13"/>
      <c r="G57" s="46"/>
      <c r="H57" s="479" t="s">
        <v>627</v>
      </c>
      <c r="I57" s="13"/>
      <c r="J57" s="13"/>
      <c r="K57" s="13"/>
      <c r="L57" s="13"/>
    </row>
    <row r="58" spans="3:12">
      <c r="C58" s="859"/>
      <c r="D58" s="13"/>
      <c r="E58" s="13"/>
      <c r="F58" s="13"/>
      <c r="G58" s="46"/>
      <c r="H58" s="474" t="s">
        <v>629</v>
      </c>
      <c r="I58" s="13"/>
      <c r="J58" s="13"/>
      <c r="K58" s="13"/>
      <c r="L58" s="13"/>
    </row>
    <row r="59" spans="3:12">
      <c r="C59" s="859"/>
      <c r="D59" s="13"/>
      <c r="E59" s="13"/>
      <c r="F59" s="13"/>
      <c r="G59" s="46"/>
      <c r="H59" s="479" t="s">
        <v>631</v>
      </c>
      <c r="I59" s="13"/>
      <c r="J59" s="13"/>
      <c r="K59" s="13"/>
      <c r="L59" s="13"/>
    </row>
    <row r="60" spans="3:12">
      <c r="C60" s="13"/>
      <c r="D60" s="13"/>
      <c r="E60" s="13"/>
      <c r="F60" s="13"/>
      <c r="G60" s="46"/>
      <c r="H60" s="57"/>
      <c r="I60" s="13"/>
      <c r="J60" s="13"/>
      <c r="K60" s="13"/>
      <c r="L60" s="13"/>
    </row>
    <row r="61" spans="3:12">
      <c r="C61" s="13"/>
      <c r="D61" s="13"/>
      <c r="E61" s="13"/>
      <c r="F61" s="13"/>
      <c r="G61" s="46"/>
      <c r="H61" s="57"/>
      <c r="I61" s="13"/>
      <c r="J61" s="13"/>
      <c r="K61" s="13"/>
      <c r="L61" s="13"/>
    </row>
    <row r="62" spans="3:12">
      <c r="C62" s="13"/>
      <c r="D62" s="13"/>
      <c r="E62" s="13"/>
      <c r="F62" s="13"/>
      <c r="G62" s="13"/>
      <c r="H62" s="13"/>
      <c r="I62" s="13"/>
      <c r="J62" s="13"/>
      <c r="K62" s="13"/>
      <c r="L62" s="13"/>
    </row>
    <row r="63" spans="3:12">
      <c r="C63" s="13"/>
      <c r="D63" s="13"/>
      <c r="E63" s="13"/>
      <c r="F63" s="13"/>
      <c r="G63" s="13"/>
      <c r="H63" s="13"/>
      <c r="I63" s="13"/>
      <c r="J63" s="13"/>
      <c r="K63" s="13"/>
      <c r="L63" s="13"/>
    </row>
    <row r="64" spans="3:12">
      <c r="C64" s="13"/>
      <c r="D64" s="13"/>
      <c r="E64" s="13"/>
      <c r="F64" s="13"/>
      <c r="G64" s="13"/>
      <c r="H64" s="13"/>
      <c r="I64" s="13"/>
      <c r="J64" s="13"/>
      <c r="K64" s="13"/>
      <c r="L64" s="13"/>
    </row>
    <row r="65" spans="3:12">
      <c r="C65" s="13"/>
      <c r="D65" s="13"/>
      <c r="E65" s="13"/>
      <c r="F65" s="13"/>
      <c r="G65" s="13"/>
      <c r="H65" s="13"/>
      <c r="I65" s="13"/>
      <c r="J65" s="13"/>
      <c r="K65" s="13"/>
      <c r="L65" s="13"/>
    </row>
    <row r="66" spans="3:12">
      <c r="C66" s="13"/>
      <c r="D66" s="13"/>
      <c r="E66" s="13"/>
      <c r="F66" s="13"/>
      <c r="G66" s="13"/>
      <c r="H66" s="13"/>
      <c r="I66" s="13"/>
      <c r="J66" s="13"/>
      <c r="K66" s="13"/>
      <c r="L66" s="13"/>
    </row>
    <row r="67" spans="3:12">
      <c r="C67" s="13"/>
      <c r="D67" s="13"/>
      <c r="E67" s="13"/>
      <c r="F67" s="13"/>
      <c r="G67" s="13"/>
      <c r="H67" s="13"/>
      <c r="I67" s="13"/>
      <c r="J67" s="13"/>
      <c r="K67" s="13"/>
      <c r="L67" s="13"/>
    </row>
    <row r="68" spans="3:12">
      <c r="C68" s="13"/>
      <c r="D68" s="13"/>
      <c r="E68" s="13"/>
      <c r="F68" s="13"/>
      <c r="G68" s="13"/>
      <c r="H68" s="13"/>
      <c r="I68" s="13"/>
      <c r="J68" s="13"/>
      <c r="K68" s="13"/>
      <c r="L68" s="13"/>
    </row>
    <row r="69" spans="3:12">
      <c r="C69" s="13"/>
      <c r="D69" s="13"/>
      <c r="E69" s="13"/>
      <c r="F69" s="13"/>
      <c r="G69" s="13"/>
      <c r="H69" s="13"/>
      <c r="I69" s="13"/>
      <c r="J69" s="13"/>
      <c r="K69" s="13"/>
      <c r="L69" s="13"/>
    </row>
    <row r="70" spans="3:12">
      <c r="C70" s="13"/>
      <c r="D70" s="13"/>
      <c r="E70" s="13"/>
      <c r="F70" s="13"/>
      <c r="G70" s="13"/>
      <c r="H70" s="13"/>
      <c r="I70" s="13"/>
      <c r="J70" s="13"/>
      <c r="K70" s="13"/>
      <c r="L70" s="13"/>
    </row>
    <row r="71" spans="3:12">
      <c r="C71" s="13"/>
      <c r="D71" s="13"/>
      <c r="E71" s="13"/>
      <c r="F71" s="13"/>
      <c r="G71" s="13"/>
      <c r="H71" s="13"/>
      <c r="I71" s="13"/>
      <c r="J71" s="13"/>
      <c r="K71" s="13"/>
      <c r="L71" s="13"/>
    </row>
    <row r="72" spans="3:12">
      <c r="C72" s="13"/>
      <c r="D72" s="13"/>
      <c r="E72" s="13"/>
      <c r="F72" s="13"/>
      <c r="G72" s="13"/>
      <c r="H72" s="13"/>
      <c r="I72" s="13"/>
      <c r="J72" s="13"/>
      <c r="K72" s="13"/>
      <c r="L72" s="13"/>
    </row>
    <row r="73" spans="3:12">
      <c r="C73" s="13"/>
      <c r="D73" s="13"/>
      <c r="E73" s="13"/>
      <c r="F73" s="13"/>
      <c r="G73" s="13"/>
      <c r="H73" s="13"/>
      <c r="I73" s="13"/>
      <c r="J73" s="13"/>
      <c r="K73" s="13"/>
      <c r="L73" s="13"/>
    </row>
    <row r="74" spans="3:12">
      <c r="C74" s="13"/>
      <c r="D74" s="13"/>
      <c r="E74" s="13"/>
      <c r="F74" s="13"/>
      <c r="G74" s="13"/>
      <c r="H74" s="13"/>
      <c r="I74" s="13"/>
      <c r="J74" s="13"/>
      <c r="K74" s="13"/>
      <c r="L74" s="13"/>
    </row>
    <row r="75" spans="3:12">
      <c r="C75" s="13"/>
      <c r="D75" s="13"/>
      <c r="E75" s="13"/>
      <c r="F75" s="13"/>
      <c r="G75" s="13"/>
      <c r="H75" s="13"/>
      <c r="I75" s="13"/>
      <c r="J75" s="13"/>
      <c r="K75" s="13"/>
      <c r="L75" s="13"/>
    </row>
    <row r="76" spans="3:12">
      <c r="C76" s="13"/>
      <c r="D76" s="13"/>
      <c r="E76" s="13"/>
      <c r="F76" s="13"/>
      <c r="G76" s="13"/>
      <c r="H76" s="13"/>
      <c r="I76" s="13"/>
      <c r="J76" s="13"/>
      <c r="K76" s="13"/>
      <c r="L76" s="13"/>
    </row>
    <row r="77" spans="3:12">
      <c r="C77" s="13"/>
      <c r="D77" s="13"/>
      <c r="E77" s="13"/>
      <c r="F77" s="13"/>
      <c r="G77" s="13"/>
      <c r="H77" s="13"/>
      <c r="I77" s="13"/>
      <c r="J77" s="13"/>
      <c r="K77" s="13"/>
      <c r="L77" s="13"/>
    </row>
    <row r="78" spans="3:12" ht="15" thickBot="1">
      <c r="C78" s="14"/>
      <c r="D78" s="14"/>
      <c r="E78" s="14"/>
      <c r="F78" s="14"/>
      <c r="G78" s="14"/>
      <c r="H78" s="14"/>
      <c r="I78" s="14"/>
      <c r="J78" s="14"/>
      <c r="K78" s="14"/>
      <c r="L78" s="14"/>
    </row>
    <row r="79" spans="3:12" ht="15" thickTop="1"/>
  </sheetData>
  <mergeCells count="5">
    <mergeCell ref="B2:C4"/>
    <mergeCell ref="B5:C5"/>
    <mergeCell ref="B12:H12"/>
    <mergeCell ref="B13:H13"/>
    <mergeCell ref="B9:I9"/>
  </mergeCells>
  <dataValidations count="3">
    <dataValidation type="list" allowBlank="1" showErrorMessage="1" sqref="E7" xr:uid="{00000000-0002-0000-1000-000000000000}">
      <formula1>$D$18:$K$18</formula1>
    </dataValidation>
    <dataValidation type="list" allowBlank="1" showErrorMessage="1" sqref="B7" xr:uid="{00000000-0002-0000-1000-000001000000}">
      <formula1>B23:B30</formula1>
    </dataValidation>
    <dataValidation type="list" allowBlank="1" sqref="C7" xr:uid="{00000000-0002-0000-1000-000002000000}">
      <formula1>OFFSET($D$38,1,MATCH($B$7,D38:K38,0)-1,COUNTA(OFFSET($D$38,1,MATCH($B$7, D38:K38,0)-1,40,1)),1)</formula1>
    </dataValidation>
  </dataValidations>
  <pageMargins left="0.7" right="0.7" top="0.75" bottom="0.75" header="0.3" footer="0.3"/>
  <pageSetup orientation="portrait" verticalDpi="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5DDBDA-49D5-4849-87C6-224460328782}">
  <sheetPr>
    <tabColor theme="4" tint="0.39997558519241921"/>
  </sheetPr>
  <dimension ref="A1:A9"/>
  <sheetViews>
    <sheetView workbookViewId="0">
      <selection activeCell="A43" sqref="A43"/>
    </sheetView>
  </sheetViews>
  <sheetFormatPr defaultRowHeight="14.6"/>
  <cols>
    <col min="1" max="1" width="105.765625" customWidth="1"/>
  </cols>
  <sheetData>
    <row r="1" spans="1:1" ht="18.45">
      <c r="A1" s="1578" t="s">
        <v>2222</v>
      </c>
    </row>
    <row r="2" spans="1:1" ht="18.45">
      <c r="A2" s="1578" t="s">
        <v>2223</v>
      </c>
    </row>
    <row r="3" spans="1:1" ht="18.45">
      <c r="A3" s="1578" t="s">
        <v>2224</v>
      </c>
    </row>
    <row r="4" spans="1:1" ht="18.45">
      <c r="A4" s="1578" t="s">
        <v>2225</v>
      </c>
    </row>
    <row r="5" spans="1:1" ht="18.45">
      <c r="A5" s="1578" t="s">
        <v>2226</v>
      </c>
    </row>
    <row r="6" spans="1:1" ht="18.45">
      <c r="A6" s="1578" t="s">
        <v>2227</v>
      </c>
    </row>
    <row r="7" spans="1:1" ht="18.45">
      <c r="A7" s="1578" t="s">
        <v>2228</v>
      </c>
    </row>
    <row r="8" spans="1:1" ht="18.45">
      <c r="A8" s="1578" t="s">
        <v>2229</v>
      </c>
    </row>
    <row r="9" spans="1:1" ht="18.45">
      <c r="A9" s="1578" t="s">
        <v>2230</v>
      </c>
    </row>
  </sheetData>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FFC000"/>
  </sheetPr>
  <dimension ref="C1:AG137"/>
  <sheetViews>
    <sheetView topLeftCell="B27" workbookViewId="0"/>
  </sheetViews>
  <sheetFormatPr defaultRowHeight="14.6"/>
  <cols>
    <col min="2" max="2" width="35" customWidth="1"/>
    <col min="3" max="3" width="66.69140625" customWidth="1"/>
    <col min="4" max="4" width="32.69140625" customWidth="1"/>
    <col min="5" max="23" width="66.69140625" customWidth="1"/>
    <col min="24" max="36" width="32.69140625" customWidth="1"/>
  </cols>
  <sheetData>
    <row r="1" spans="3:23" ht="15" thickBot="1"/>
    <row r="2" spans="3:23" ht="30" customHeight="1" thickTop="1">
      <c r="C2" s="2313" t="str">
        <f>HLOOKUP($C$7,'E3'!E38:V39,2,FALSE)</f>
        <v>Description: 
Degraded communications performance due to contention.</v>
      </c>
      <c r="F2" s="17"/>
    </row>
    <row r="3" spans="3:23" ht="30" customHeight="1">
      <c r="C3" s="2314"/>
      <c r="F3" s="25"/>
    </row>
    <row r="4" spans="3:23" ht="30" customHeight="1" thickBot="1">
      <c r="C4" s="2315"/>
    </row>
    <row r="5" spans="3:23" ht="15.45" thickTop="1" thickBot="1">
      <c r="C5" s="512" t="s">
        <v>731</v>
      </c>
    </row>
    <row r="6" spans="3:23" ht="15.45" thickTop="1" thickBot="1">
      <c r="C6" s="490" t="s">
        <v>745</v>
      </c>
    </row>
    <row r="7" spans="3:23" ht="15.45" thickTop="1" thickBot="1">
      <c r="C7" s="126" t="s">
        <v>684</v>
      </c>
    </row>
    <row r="8" spans="3:23" ht="15" thickTop="1"/>
    <row r="16" spans="3:23">
      <c r="D16" s="23" t="s">
        <v>77</v>
      </c>
      <c r="E16" s="23" t="s">
        <v>78</v>
      </c>
      <c r="F16" s="23" t="s">
        <v>79</v>
      </c>
      <c r="G16" s="23" t="s">
        <v>80</v>
      </c>
      <c r="H16" s="23" t="s">
        <v>192</v>
      </c>
      <c r="I16" s="23" t="s">
        <v>725</v>
      </c>
      <c r="J16" s="23" t="s">
        <v>726</v>
      </c>
      <c r="K16" s="23" t="s">
        <v>732</v>
      </c>
      <c r="L16" s="23" t="s">
        <v>733</v>
      </c>
      <c r="M16" s="23" t="s">
        <v>734</v>
      </c>
      <c r="N16" s="23" t="s">
        <v>735</v>
      </c>
      <c r="O16" s="23" t="s">
        <v>736</v>
      </c>
      <c r="P16" s="23" t="s">
        <v>737</v>
      </c>
      <c r="Q16" s="23" t="s">
        <v>738</v>
      </c>
      <c r="R16" s="23" t="s">
        <v>739</v>
      </c>
      <c r="S16" s="23" t="s">
        <v>740</v>
      </c>
      <c r="T16" s="23" t="s">
        <v>741</v>
      </c>
      <c r="U16" s="23" t="s">
        <v>742</v>
      </c>
      <c r="V16" s="23" t="s">
        <v>1246</v>
      </c>
      <c r="W16" s="23" t="s">
        <v>1287</v>
      </c>
    </row>
    <row r="17" spans="3:23" ht="15" thickBot="1">
      <c r="D17" s="120" t="s">
        <v>208</v>
      </c>
      <c r="E17" s="1" t="s">
        <v>0</v>
      </c>
    </row>
    <row r="18" spans="3:23" ht="15.45" thickTop="1" thickBot="1">
      <c r="C18" s="11" t="s">
        <v>724</v>
      </c>
      <c r="D18" s="836" t="s">
        <v>176</v>
      </c>
      <c r="E18" s="481" t="s">
        <v>678</v>
      </c>
      <c r="F18" s="481" t="s">
        <v>680</v>
      </c>
      <c r="G18" s="481" t="s">
        <v>682</v>
      </c>
      <c r="H18" s="481" t="s">
        <v>684</v>
      </c>
      <c r="I18" s="481" t="s">
        <v>686</v>
      </c>
      <c r="J18" s="481" t="s">
        <v>688</v>
      </c>
      <c r="K18" s="481" t="s">
        <v>690</v>
      </c>
      <c r="L18" s="481" t="s">
        <v>692</v>
      </c>
      <c r="M18" s="481" t="s">
        <v>694</v>
      </c>
      <c r="N18" s="481" t="s">
        <v>696</v>
      </c>
      <c r="O18" s="481" t="s">
        <v>698</v>
      </c>
      <c r="P18" s="481" t="s">
        <v>700</v>
      </c>
      <c r="Q18" s="481" t="s">
        <v>702</v>
      </c>
      <c r="R18" s="486" t="s">
        <v>704</v>
      </c>
      <c r="S18" s="481" t="s">
        <v>706</v>
      </c>
      <c r="T18" s="487" t="s">
        <v>708</v>
      </c>
      <c r="U18" s="487" t="s">
        <v>710</v>
      </c>
      <c r="V18" s="487" t="s">
        <v>712</v>
      </c>
      <c r="W18" s="893" t="s">
        <v>1279</v>
      </c>
    </row>
    <row r="19" spans="3:23" ht="15" thickTop="1">
      <c r="C19" s="467" t="s">
        <v>204</v>
      </c>
      <c r="E19" s="470"/>
      <c r="F19" s="515" t="s">
        <v>205</v>
      </c>
      <c r="G19" s="119" t="s">
        <v>206</v>
      </c>
      <c r="H19" s="119" t="s">
        <v>120</v>
      </c>
      <c r="I19" s="467" t="s">
        <v>207</v>
      </c>
      <c r="J19" s="470" t="s">
        <v>721</v>
      </c>
      <c r="K19" s="470" t="s">
        <v>722</v>
      </c>
      <c r="L19" s="471" t="s">
        <v>723</v>
      </c>
      <c r="M19" s="23"/>
      <c r="N19" s="23"/>
      <c r="O19" s="23"/>
      <c r="P19" s="23"/>
      <c r="Q19" s="23"/>
      <c r="T19" s="45"/>
      <c r="U19" s="45"/>
      <c r="V19" s="45"/>
      <c r="W19" s="45"/>
    </row>
    <row r="20" spans="3:23" ht="15" thickBot="1">
      <c r="C20" s="75"/>
      <c r="F20" s="516"/>
      <c r="G20" s="114"/>
      <c r="H20" s="114"/>
      <c r="I20" s="468"/>
      <c r="J20" s="114"/>
      <c r="K20" s="114"/>
      <c r="L20" s="117"/>
      <c r="M20" s="23"/>
      <c r="N20" s="23"/>
      <c r="O20" s="23"/>
      <c r="P20" s="23"/>
      <c r="Q20" s="23"/>
      <c r="T20" s="45"/>
      <c r="U20" s="45"/>
      <c r="V20" s="45"/>
      <c r="W20" s="45"/>
    </row>
    <row r="21" spans="3:23" ht="19.3" thickTop="1" thickBot="1">
      <c r="C21" s="628" t="s">
        <v>731</v>
      </c>
      <c r="F21" s="516"/>
      <c r="G21" s="114"/>
      <c r="H21" s="114"/>
      <c r="I21" s="468"/>
      <c r="J21" s="114"/>
      <c r="K21" s="114"/>
      <c r="L21" s="117"/>
      <c r="M21" s="23"/>
      <c r="N21" s="23"/>
      <c r="O21" s="23"/>
      <c r="P21" s="23"/>
      <c r="Q21" s="23"/>
      <c r="T21" s="45"/>
      <c r="U21" s="45"/>
      <c r="V21" s="45"/>
      <c r="W21" s="45"/>
    </row>
    <row r="22" spans="3:23" ht="15" thickTop="1">
      <c r="C22" s="254"/>
      <c r="F22" s="516"/>
      <c r="G22" s="114"/>
      <c r="H22" s="114"/>
      <c r="I22" s="468"/>
      <c r="J22" s="114"/>
      <c r="K22" s="114"/>
      <c r="L22" s="117"/>
      <c r="M22" s="23"/>
      <c r="N22" s="23"/>
      <c r="O22" s="23"/>
      <c r="P22" s="23"/>
      <c r="Q22" s="23"/>
      <c r="T22" s="45"/>
      <c r="U22" s="45"/>
      <c r="V22" s="45"/>
      <c r="W22" s="45"/>
    </row>
    <row r="23" spans="3:23">
      <c r="C23" s="75"/>
      <c r="F23" s="516"/>
      <c r="G23" s="114"/>
      <c r="H23" s="114"/>
      <c r="I23" s="468"/>
      <c r="J23" s="114"/>
      <c r="K23" s="114"/>
      <c r="L23" s="117"/>
      <c r="M23" s="23"/>
      <c r="N23" s="23"/>
      <c r="O23" s="23"/>
      <c r="P23" s="23"/>
      <c r="Q23" s="23"/>
      <c r="T23" s="45"/>
      <c r="U23" s="45"/>
      <c r="V23" s="45"/>
      <c r="W23" s="45"/>
    </row>
    <row r="24" spans="3:23">
      <c r="C24" s="75"/>
      <c r="G24" s="114"/>
      <c r="H24" s="114"/>
      <c r="I24" s="468"/>
      <c r="J24" s="114"/>
      <c r="K24" s="114"/>
      <c r="L24" s="117"/>
      <c r="M24" s="23"/>
      <c r="N24" s="23"/>
      <c r="O24" s="23"/>
      <c r="P24" s="23"/>
      <c r="Q24" s="23"/>
      <c r="T24" s="45"/>
      <c r="U24" s="45"/>
      <c r="V24" s="45"/>
      <c r="W24" s="45"/>
    </row>
    <row r="25" spans="3:23">
      <c r="C25" s="75"/>
      <c r="G25" s="114"/>
      <c r="H25" s="114"/>
      <c r="I25" s="468"/>
      <c r="J25" s="114"/>
      <c r="K25" s="114"/>
      <c r="L25" s="117"/>
      <c r="M25" s="23"/>
      <c r="N25" s="23"/>
      <c r="O25" s="23"/>
      <c r="P25" s="23"/>
      <c r="Q25" s="23"/>
      <c r="T25" s="45"/>
      <c r="U25" s="45"/>
      <c r="V25" s="45"/>
      <c r="W25" s="45"/>
    </row>
    <row r="26" spans="3:23">
      <c r="C26" s="75"/>
      <c r="G26" s="114"/>
      <c r="H26" s="114"/>
      <c r="I26" s="468"/>
      <c r="J26" s="114"/>
      <c r="K26" s="114"/>
      <c r="L26" s="117"/>
      <c r="M26" s="23"/>
      <c r="N26" s="23"/>
      <c r="O26" s="23"/>
      <c r="P26" s="23"/>
      <c r="Q26" s="23"/>
      <c r="T26" s="45"/>
      <c r="U26" s="45"/>
      <c r="V26" s="45"/>
      <c r="W26" s="45"/>
    </row>
    <row r="27" spans="3:23">
      <c r="C27" s="75"/>
      <c r="G27" s="114"/>
      <c r="H27" s="114"/>
      <c r="I27" s="468"/>
      <c r="J27" s="114"/>
      <c r="K27" s="114"/>
      <c r="L27" s="117"/>
      <c r="M27" s="23"/>
      <c r="N27" s="23"/>
      <c r="O27" s="23"/>
      <c r="P27" s="23"/>
      <c r="Q27" s="23"/>
      <c r="T27" s="45"/>
      <c r="U27" s="45"/>
      <c r="V27" s="45"/>
      <c r="W27" s="45"/>
    </row>
    <row r="28" spans="3:23">
      <c r="C28" s="75"/>
      <c r="F28" s="516"/>
      <c r="G28" s="114"/>
      <c r="H28" s="114"/>
      <c r="I28" s="468"/>
      <c r="J28" s="114"/>
      <c r="K28" s="114"/>
      <c r="L28" s="117"/>
      <c r="M28" s="23"/>
      <c r="N28" s="23"/>
      <c r="O28" s="23"/>
      <c r="P28" s="23"/>
      <c r="Q28" s="23"/>
      <c r="T28" s="45"/>
      <c r="U28" s="45"/>
      <c r="V28" s="45"/>
      <c r="W28" s="45"/>
    </row>
    <row r="29" spans="3:23">
      <c r="C29" s="75"/>
      <c r="F29" s="516"/>
      <c r="G29" s="114"/>
      <c r="H29" s="114"/>
      <c r="I29" s="468"/>
      <c r="J29" s="114"/>
      <c r="K29" s="114"/>
      <c r="L29" s="117"/>
      <c r="M29" s="23"/>
      <c r="N29" s="23"/>
      <c r="O29" s="23"/>
      <c r="P29" s="23"/>
      <c r="Q29" s="23"/>
      <c r="T29" s="45"/>
      <c r="U29" s="45"/>
      <c r="V29" s="45"/>
      <c r="W29" s="45"/>
    </row>
    <row r="30" spans="3:23">
      <c r="C30" s="75"/>
      <c r="F30" s="516"/>
      <c r="G30" s="114"/>
      <c r="H30" s="114"/>
      <c r="I30" s="468"/>
      <c r="J30" s="114"/>
      <c r="K30" s="114"/>
      <c r="L30" s="117"/>
      <c r="M30" s="23"/>
      <c r="N30" s="23"/>
      <c r="O30" s="23"/>
      <c r="P30" s="23"/>
      <c r="Q30" s="23"/>
      <c r="T30" s="45"/>
      <c r="U30" s="45"/>
      <c r="V30" s="45"/>
      <c r="W30" s="45"/>
    </row>
    <row r="31" spans="3:23">
      <c r="C31" s="75"/>
      <c r="F31" s="516"/>
      <c r="G31" s="114"/>
      <c r="H31" s="114"/>
      <c r="I31" s="468"/>
      <c r="J31" s="114"/>
      <c r="K31" s="114"/>
      <c r="L31" s="117"/>
      <c r="M31" s="23"/>
      <c r="N31" s="23"/>
      <c r="O31" s="23"/>
      <c r="P31" s="23"/>
      <c r="Q31" s="23"/>
      <c r="T31" s="45"/>
      <c r="U31" s="45"/>
      <c r="V31" s="45"/>
      <c r="W31" s="45"/>
    </row>
    <row r="32" spans="3:23">
      <c r="C32" s="75"/>
      <c r="F32" s="516"/>
      <c r="G32" s="114"/>
      <c r="H32" s="114"/>
      <c r="I32" s="468"/>
      <c r="J32" s="114"/>
      <c r="K32" s="114"/>
      <c r="L32" s="117"/>
      <c r="M32" s="23"/>
      <c r="N32" s="23"/>
      <c r="O32" s="23"/>
      <c r="P32" s="23"/>
      <c r="Q32" s="23"/>
      <c r="T32" s="45"/>
      <c r="U32" s="45"/>
      <c r="V32" s="45"/>
      <c r="W32" s="45"/>
    </row>
    <row r="33" spans="3:33">
      <c r="C33" s="75"/>
      <c r="F33" s="516"/>
      <c r="G33" s="114"/>
      <c r="H33" s="114"/>
      <c r="I33" s="468"/>
      <c r="J33" s="114"/>
      <c r="K33" s="114"/>
      <c r="L33" s="117"/>
      <c r="M33" s="23"/>
      <c r="N33" s="23"/>
      <c r="O33" s="23"/>
      <c r="P33" s="23"/>
      <c r="Q33" s="23"/>
      <c r="T33" s="45"/>
      <c r="U33" s="45"/>
      <c r="V33" s="45"/>
      <c r="W33" s="45"/>
    </row>
    <row r="34" spans="3:33">
      <c r="C34" s="75"/>
      <c r="F34" s="516"/>
      <c r="G34" s="114"/>
      <c r="H34" s="114"/>
      <c r="I34" s="468"/>
      <c r="J34" s="114"/>
      <c r="K34" s="114"/>
      <c r="L34" s="117"/>
      <c r="M34" s="23"/>
      <c r="N34" s="23"/>
      <c r="O34" s="23"/>
      <c r="P34" s="23"/>
      <c r="Q34" s="23"/>
      <c r="T34" s="45"/>
      <c r="U34" s="45"/>
      <c r="V34" s="45"/>
      <c r="W34" s="45"/>
    </row>
    <row r="35" spans="3:33">
      <c r="C35" s="75"/>
      <c r="E35" s="114"/>
      <c r="F35" s="516"/>
      <c r="G35" s="114"/>
      <c r="H35" s="114"/>
      <c r="I35" s="468"/>
      <c r="J35" s="114"/>
      <c r="K35" s="114"/>
      <c r="L35" s="117"/>
      <c r="M35" s="23"/>
      <c r="N35" s="23"/>
      <c r="O35" s="23"/>
      <c r="P35" s="23"/>
      <c r="Q35" s="23"/>
      <c r="T35" s="45"/>
      <c r="U35" s="45"/>
      <c r="V35" s="45"/>
      <c r="W35" s="45"/>
    </row>
    <row r="36" spans="3:33" ht="15" thickBot="1">
      <c r="C36" s="75"/>
      <c r="E36" s="520"/>
      <c r="F36" s="516"/>
      <c r="G36" s="114"/>
      <c r="H36" s="114"/>
      <c r="I36" s="468"/>
      <c r="J36" s="114"/>
      <c r="K36" s="114"/>
      <c r="L36" s="117"/>
      <c r="M36" s="23"/>
      <c r="N36" s="23"/>
      <c r="O36" s="23"/>
      <c r="P36" s="23"/>
      <c r="Q36" s="23"/>
      <c r="T36" s="45"/>
      <c r="U36" s="45"/>
      <c r="V36" s="45"/>
      <c r="W36" s="45"/>
    </row>
    <row r="37" spans="3:33" ht="15.45" thickTop="1" thickBot="1">
      <c r="C37" s="482"/>
      <c r="D37" s="482" t="s">
        <v>754</v>
      </c>
      <c r="E37" s="482" t="s">
        <v>755</v>
      </c>
      <c r="F37" s="482" t="s">
        <v>756</v>
      </c>
      <c r="G37" s="482" t="s">
        <v>757</v>
      </c>
      <c r="H37" s="483" t="s">
        <v>758</v>
      </c>
      <c r="I37" s="484" t="s">
        <v>759</v>
      </c>
      <c r="J37" s="484" t="s">
        <v>760</v>
      </c>
      <c r="K37" s="485" t="s">
        <v>761</v>
      </c>
      <c r="L37" s="23" t="s">
        <v>762</v>
      </c>
      <c r="M37" s="23" t="s">
        <v>763</v>
      </c>
      <c r="N37" s="23" t="s">
        <v>764</v>
      </c>
      <c r="O37" s="23" t="s">
        <v>765</v>
      </c>
      <c r="P37" s="23" t="s">
        <v>766</v>
      </c>
      <c r="Q37" s="23" t="s">
        <v>767</v>
      </c>
      <c r="R37" s="23" t="s">
        <v>768</v>
      </c>
      <c r="S37" s="513" t="s">
        <v>769</v>
      </c>
      <c r="T37" s="513" t="s">
        <v>770</v>
      </c>
      <c r="U37" s="513" t="s">
        <v>771</v>
      </c>
      <c r="V37" s="513" t="s">
        <v>1244</v>
      </c>
      <c r="W37" s="513" t="s">
        <v>1286</v>
      </c>
    </row>
    <row r="38" spans="3:33" s="43" customFormat="1" ht="15.45" thickTop="1" thickBot="1">
      <c r="C38" s="847"/>
      <c r="D38" s="1734" t="s">
        <v>176</v>
      </c>
      <c r="E38" s="1735" t="s">
        <v>678</v>
      </c>
      <c r="F38" s="1735" t="s">
        <v>680</v>
      </c>
      <c r="G38" s="1735" t="s">
        <v>682</v>
      </c>
      <c r="H38" s="1735" t="s">
        <v>684</v>
      </c>
      <c r="I38" s="1735" t="s">
        <v>686</v>
      </c>
      <c r="J38" s="1735" t="s">
        <v>688</v>
      </c>
      <c r="K38" s="1735" t="s">
        <v>690</v>
      </c>
      <c r="L38" s="1735" t="s">
        <v>692</v>
      </c>
      <c r="M38" s="1735" t="s">
        <v>694</v>
      </c>
      <c r="N38" s="1735" t="s">
        <v>696</v>
      </c>
      <c r="O38" s="1735" t="s">
        <v>698</v>
      </c>
      <c r="P38" s="1735" t="s">
        <v>700</v>
      </c>
      <c r="Q38" s="1735" t="s">
        <v>702</v>
      </c>
      <c r="R38" s="1735" t="s">
        <v>704</v>
      </c>
      <c r="S38" s="1735" t="s">
        <v>706</v>
      </c>
      <c r="T38" s="1736" t="s">
        <v>708</v>
      </c>
      <c r="U38" s="1736" t="s">
        <v>710</v>
      </c>
      <c r="V38" s="1736" t="s">
        <v>712</v>
      </c>
      <c r="W38" s="1736" t="s">
        <v>1279</v>
      </c>
    </row>
    <row r="39" spans="3:33" ht="102.9" thickTop="1" thickBot="1">
      <c r="C39" s="488"/>
      <c r="D39" s="835" t="s">
        <v>1245</v>
      </c>
      <c r="E39" s="121" t="s">
        <v>1955</v>
      </c>
      <c r="F39" s="121" t="s">
        <v>1956</v>
      </c>
      <c r="G39" s="121" t="s">
        <v>1957</v>
      </c>
      <c r="H39" s="121" t="s">
        <v>1958</v>
      </c>
      <c r="I39" s="121" t="s">
        <v>1959</v>
      </c>
      <c r="J39" s="121" t="s">
        <v>1960</v>
      </c>
      <c r="K39" s="121" t="s">
        <v>1961</v>
      </c>
      <c r="L39" s="121" t="s">
        <v>1962</v>
      </c>
      <c r="M39" s="121" t="s">
        <v>1963</v>
      </c>
      <c r="N39" s="121" t="s">
        <v>1964</v>
      </c>
      <c r="O39" s="121" t="s">
        <v>1965</v>
      </c>
      <c r="P39" s="121" t="s">
        <v>1966</v>
      </c>
      <c r="Q39" s="121" t="s">
        <v>1967</v>
      </c>
      <c r="R39" s="121" t="s">
        <v>1968</v>
      </c>
      <c r="S39" s="121" t="s">
        <v>1969</v>
      </c>
      <c r="T39" s="121" t="s">
        <v>1970</v>
      </c>
      <c r="U39" s="121" t="s">
        <v>1971</v>
      </c>
      <c r="V39" s="121" t="s">
        <v>1972</v>
      </c>
      <c r="W39" s="121" t="s">
        <v>1973</v>
      </c>
    </row>
    <row r="40" spans="3:33" ht="15" thickTop="1">
      <c r="C40" s="341"/>
      <c r="E40" s="90"/>
      <c r="F40" s="90"/>
      <c r="G40" s="90"/>
      <c r="H40" s="90"/>
      <c r="I40" s="90"/>
      <c r="J40" s="90"/>
      <c r="K40" s="90"/>
      <c r="L40" s="90"/>
      <c r="S40" s="23" t="s">
        <v>142</v>
      </c>
    </row>
    <row r="41" spans="3:33">
      <c r="C41" s="341"/>
      <c r="E41" s="13"/>
      <c r="F41" s="13"/>
      <c r="G41" s="13"/>
      <c r="H41" s="13"/>
      <c r="I41" s="13"/>
      <c r="J41" s="13"/>
      <c r="K41" s="13"/>
      <c r="L41" s="13"/>
      <c r="S41" s="106" t="e">
        <f>IF(MATCH('D2'!$P$47,'D2'!$C$8:$G$8,0)&lt;&gt;SUM(IF(_xlfn.IFNA(MATCH('D2'!$Q$47,'D2'!$C$41:$C$80,0),0), 1,0), IF(_xlfn.IFNA(MATCH('D2'!$Q$47,'D2'!$D$41:$D$80,0),0),2,0), IF(_xlfn.IFNA(MATCH('D2'!$Q$47,'D2'!$E$41:$E$80,0),0),3,0), IF(_xlfn.IFNA(MATCH('D2'!$Q$47,'D2'!$F$41:$F$80,0),0),4,0),IF(_xlfn.IFNA(MATCH('D2'!$Q$47,'D2'!$G$41:$G$80,0),0),4,0) ),1,0)</f>
        <v>#N/A</v>
      </c>
    </row>
    <row r="42" spans="3:33" ht="15" thickBot="1">
      <c r="C42" s="341"/>
      <c r="E42" s="13"/>
      <c r="F42" s="13"/>
      <c r="G42" s="13"/>
      <c r="H42" s="13"/>
      <c r="I42" s="13"/>
      <c r="J42" s="13"/>
      <c r="K42" s="13"/>
      <c r="L42" s="13"/>
      <c r="R42" s="107" t="s">
        <v>194</v>
      </c>
      <c r="S42" s="26"/>
    </row>
    <row r="43" spans="3:33" ht="19.3" thickTop="1" thickBot="1">
      <c r="C43" s="472" t="s">
        <v>731</v>
      </c>
      <c r="E43" s="13"/>
      <c r="F43" s="13"/>
      <c r="G43" s="13"/>
      <c r="H43" s="13"/>
      <c r="I43" s="13"/>
      <c r="J43" s="13"/>
      <c r="K43" s="13"/>
      <c r="L43" s="13"/>
      <c r="S43" t="s">
        <v>193</v>
      </c>
    </row>
    <row r="44" spans="3:33" ht="15" thickTop="1">
      <c r="C44" s="341"/>
      <c r="E44" s="13"/>
      <c r="F44" s="13"/>
      <c r="G44" s="13"/>
      <c r="H44" s="13"/>
      <c r="I44" s="13"/>
      <c r="J44" s="13"/>
      <c r="K44" s="13"/>
      <c r="L44" s="13"/>
      <c r="R44" s="68" t="s">
        <v>43</v>
      </c>
      <c r="S44" s="69" t="e">
        <f>SelNewVal_D2</f>
        <v>#REF!</v>
      </c>
    </row>
    <row r="45" spans="3:33" ht="15" thickBot="1">
      <c r="C45" s="341"/>
      <c r="E45" s="13"/>
      <c r="F45" s="13"/>
      <c r="G45" s="13"/>
      <c r="H45" s="13"/>
      <c r="I45" s="13"/>
      <c r="J45" s="13"/>
      <c r="K45" s="13"/>
      <c r="L45" s="13"/>
      <c r="R45" s="16" t="s">
        <v>186</v>
      </c>
      <c r="S45" s="71" t="s">
        <v>23</v>
      </c>
    </row>
    <row r="46" spans="3:33" ht="15" thickTop="1">
      <c r="C46" s="341"/>
      <c r="E46" s="13"/>
      <c r="F46" s="13"/>
      <c r="G46" s="13"/>
      <c r="H46" s="13"/>
      <c r="I46" s="13"/>
      <c r="J46" s="13"/>
      <c r="K46" s="13"/>
      <c r="L46" s="13"/>
    </row>
    <row r="47" spans="3:33" ht="15" thickBot="1">
      <c r="C47" s="341"/>
      <c r="E47" s="13"/>
      <c r="F47" s="13"/>
      <c r="G47" s="13"/>
      <c r="H47" s="13"/>
      <c r="I47" s="13"/>
      <c r="J47" s="13"/>
      <c r="K47" s="13"/>
      <c r="L47" s="13"/>
    </row>
    <row r="48" spans="3:33" ht="15" thickTop="1">
      <c r="C48" s="341"/>
      <c r="D48" s="48"/>
      <c r="E48" s="13"/>
      <c r="F48" s="13"/>
      <c r="G48" s="13"/>
      <c r="H48" s="13"/>
      <c r="I48" s="13"/>
      <c r="J48" s="13"/>
      <c r="K48" s="13"/>
      <c r="L48" s="13"/>
      <c r="R48" s="54" t="s">
        <v>142</v>
      </c>
      <c r="S48" s="52" t="e">
        <f>IF(CheckVal_D2,"Click a New Threat","")</f>
        <v>#N/A</v>
      </c>
      <c r="T48" s="48"/>
      <c r="U48" s="48"/>
      <c r="V48" s="48"/>
      <c r="X48" s="48"/>
      <c r="Y48" s="48"/>
      <c r="Z48" s="48"/>
      <c r="AA48" s="48"/>
      <c r="AB48" s="48"/>
      <c r="AC48" s="48"/>
      <c r="AD48" s="48"/>
      <c r="AE48" s="48"/>
      <c r="AF48" s="48"/>
      <c r="AG48" s="56"/>
    </row>
    <row r="49" spans="3:33">
      <c r="C49" s="341"/>
      <c r="D49" s="49"/>
      <c r="E49" s="13"/>
      <c r="F49" s="13"/>
      <c r="G49" s="13"/>
      <c r="H49" s="13"/>
      <c r="I49" s="13"/>
      <c r="J49" s="13"/>
      <c r="K49" s="13"/>
      <c r="L49" s="13"/>
      <c r="R49" s="46" t="s">
        <v>144</v>
      </c>
      <c r="T49" s="49"/>
      <c r="U49" s="49"/>
      <c r="V49" s="49"/>
      <c r="X49" s="49"/>
      <c r="Y49" s="49"/>
      <c r="Z49" s="49"/>
      <c r="AA49" s="49"/>
      <c r="AB49" s="49"/>
      <c r="AC49" s="49"/>
      <c r="AD49" s="49"/>
      <c r="AE49" s="49"/>
      <c r="AF49" s="49"/>
      <c r="AG49" s="57"/>
    </row>
    <row r="50" spans="3:33">
      <c r="C50" s="341"/>
      <c r="D50" s="49"/>
      <c r="E50" s="13"/>
      <c r="F50" s="13"/>
      <c r="G50" s="13"/>
      <c r="H50" s="13"/>
      <c r="I50" s="13"/>
      <c r="J50" s="13"/>
      <c r="K50" s="13"/>
      <c r="L50" s="13"/>
      <c r="R50" s="46"/>
      <c r="S50" s="49"/>
      <c r="T50" s="49"/>
      <c r="U50" s="49"/>
      <c r="V50" s="49"/>
      <c r="X50" s="49"/>
      <c r="Y50" s="49"/>
      <c r="Z50" s="49"/>
      <c r="AA50" s="49"/>
      <c r="AB50" s="49"/>
      <c r="AC50" s="49"/>
      <c r="AD50" s="49"/>
      <c r="AE50" s="49"/>
      <c r="AF50" s="49"/>
      <c r="AG50" s="57"/>
    </row>
    <row r="51" spans="3:33">
      <c r="C51" s="341"/>
      <c r="D51" s="49"/>
      <c r="E51" s="13"/>
      <c r="F51" s="13"/>
      <c r="G51" s="13"/>
      <c r="H51" s="13"/>
      <c r="I51" s="13"/>
      <c r="J51" s="13"/>
      <c r="K51" s="13"/>
      <c r="L51" s="13"/>
      <c r="R51" s="37" t="s">
        <v>143</v>
      </c>
      <c r="S51" s="70" t="e">
        <f>IF(MATCH('D2'!$P$47,'D2'!$C$8:$G$8,0)&lt;&gt;SUM(IF(_xlfn.IFNA(MATCH('D2'!$Q$47,'D2'!$C$41:$C$80,0),0), 1,0), IF(_xlfn.IFNA(MATCH('D2'!$Q$47,'D2'!$D$41:$D$80,0),0),2,0), IF(_xlfn.IFNA(MATCH('D2'!$Q$47,'D2'!$E$41:$E$80,0),0),3,0), IF(_xlfn.IFNA(MATCH('D2'!$Q$47,'D2'!$F$41:$F$80,0),0),4,0) ),1,0)</f>
        <v>#N/A</v>
      </c>
      <c r="T51" s="49"/>
      <c r="U51" s="49"/>
      <c r="V51" s="49"/>
      <c r="X51" s="49"/>
      <c r="Y51" s="49"/>
      <c r="Z51" s="49"/>
      <c r="AA51" s="49"/>
      <c r="AB51" s="49"/>
      <c r="AC51" s="49"/>
      <c r="AD51" s="49"/>
      <c r="AE51" s="49"/>
      <c r="AF51" s="49"/>
      <c r="AG51" s="57"/>
    </row>
    <row r="52" spans="3:33">
      <c r="C52" s="341"/>
      <c r="D52" s="49"/>
      <c r="E52" s="13"/>
      <c r="F52" s="13"/>
      <c r="G52" s="13"/>
      <c r="H52" s="13"/>
      <c r="I52" s="13"/>
      <c r="J52" s="13"/>
      <c r="K52" s="13"/>
      <c r="L52" s="13"/>
      <c r="R52" s="105" t="s">
        <v>194</v>
      </c>
      <c r="S52" s="49"/>
      <c r="T52" s="49"/>
      <c r="U52" s="49"/>
      <c r="V52" s="49"/>
      <c r="X52" s="49"/>
      <c r="Y52" s="49"/>
      <c r="Z52" s="49"/>
      <c r="AA52" s="49"/>
      <c r="AB52" s="49"/>
      <c r="AC52" s="49"/>
      <c r="AD52" s="49"/>
      <c r="AE52" s="49"/>
      <c r="AF52" s="49"/>
      <c r="AG52" s="57"/>
    </row>
    <row r="53" spans="3:33" ht="15" thickBot="1">
      <c r="C53" s="341"/>
      <c r="D53" s="50"/>
      <c r="E53" s="13"/>
      <c r="F53" s="13"/>
      <c r="G53" s="13"/>
      <c r="H53" s="13"/>
      <c r="I53" s="13"/>
      <c r="J53" s="13"/>
      <c r="K53" s="13"/>
      <c r="L53" s="13"/>
      <c r="R53" s="47"/>
      <c r="S53" s="50"/>
      <c r="T53" s="50"/>
      <c r="U53" s="50"/>
      <c r="V53" s="50"/>
      <c r="X53" s="50"/>
      <c r="Y53" s="50"/>
      <c r="Z53" s="50"/>
      <c r="AA53" s="50"/>
      <c r="AB53" s="50"/>
      <c r="AC53" s="50"/>
      <c r="AD53" s="50"/>
      <c r="AE53" s="50"/>
      <c r="AF53" s="50"/>
      <c r="AG53" s="60"/>
    </row>
    <row r="54" spans="3:33" ht="15" thickTop="1">
      <c r="C54" s="341"/>
      <c r="E54" s="13"/>
      <c r="F54" s="13"/>
      <c r="G54" s="13"/>
      <c r="H54" s="13"/>
      <c r="I54" s="13"/>
      <c r="J54" s="13"/>
      <c r="K54" s="13"/>
      <c r="L54" s="13"/>
      <c r="R54" t="e">
        <f>IF(MATCH('D2'!$P$47,'D2'!$C$8:$G$8,0)&lt;&gt;SUM(IF(_xlfn.IFNA(MATCH('D2'!$Q$47,'D2'!$C$41:$C$80,0),0), 1,0), IF(_xlfn.IFNA(MATCH('D2'!$Q$47,'D2'!$D$41:$D$80,0),0),2,0), IF(_xlfn.IFNA(MATCH('D2'!$Q$47,'D2'!$E$41:$E$80,0),0),3,0), IF(_xlfn.IFNA(MATCH('D2'!$Q$47,'D2'!$F$41:$F$80,0),0),4,0) ),1,0)</f>
        <v>#N/A</v>
      </c>
    </row>
    <row r="55" spans="3:33">
      <c r="C55" s="341"/>
      <c r="E55" s="13"/>
      <c r="F55" s="13"/>
      <c r="G55" s="13"/>
      <c r="H55" s="13"/>
      <c r="I55" s="13"/>
      <c r="J55" s="13"/>
      <c r="K55" s="13"/>
      <c r="L55" s="13"/>
    </row>
    <row r="56" spans="3:33">
      <c r="C56" s="341"/>
      <c r="E56" s="13"/>
      <c r="F56" s="13"/>
      <c r="G56" s="13"/>
      <c r="H56" s="13"/>
      <c r="I56" s="13"/>
      <c r="J56" s="13"/>
      <c r="K56" s="13"/>
      <c r="L56" s="13"/>
    </row>
    <row r="57" spans="3:33">
      <c r="C57" s="341"/>
      <c r="E57" s="13"/>
      <c r="F57" s="13"/>
      <c r="G57" s="13"/>
      <c r="H57" s="13"/>
      <c r="I57" s="13"/>
      <c r="J57" s="13"/>
      <c r="K57" s="13"/>
      <c r="L57" s="13"/>
    </row>
    <row r="58" spans="3:33" ht="15" thickBot="1">
      <c r="C58" s="421"/>
      <c r="E58" s="13"/>
      <c r="F58" s="13"/>
      <c r="G58" s="13"/>
      <c r="H58" s="13"/>
      <c r="I58" s="13"/>
      <c r="J58" s="13"/>
      <c r="K58" s="13"/>
      <c r="L58" s="13"/>
      <c r="R58" s="17" t="s">
        <v>50</v>
      </c>
      <c r="U58" s="17" t="s">
        <v>49</v>
      </c>
    </row>
    <row r="59" spans="3:33" ht="15" thickTop="1">
      <c r="E59" s="13"/>
      <c r="F59" s="13"/>
      <c r="G59" s="13"/>
      <c r="H59" s="13"/>
      <c r="I59" s="13"/>
      <c r="J59" s="13"/>
      <c r="K59" s="13"/>
      <c r="L59" s="13"/>
    </row>
    <row r="60" spans="3:33">
      <c r="E60" s="13"/>
      <c r="F60" s="13"/>
      <c r="G60" s="13"/>
      <c r="H60" s="13"/>
      <c r="I60" s="13"/>
      <c r="J60" s="13"/>
      <c r="K60" s="13"/>
      <c r="L60" s="13"/>
    </row>
    <row r="61" spans="3:33">
      <c r="E61" s="13"/>
      <c r="F61" s="13"/>
      <c r="G61" s="13"/>
      <c r="H61" s="13"/>
      <c r="I61" s="13"/>
      <c r="J61" s="13"/>
      <c r="K61" s="13"/>
      <c r="L61" s="13"/>
      <c r="R61" t="s">
        <v>52</v>
      </c>
      <c r="U61" t="s">
        <v>56</v>
      </c>
    </row>
    <row r="62" spans="3:33">
      <c r="E62" s="13"/>
      <c r="F62" s="13"/>
      <c r="G62" s="13"/>
      <c r="H62" s="13"/>
      <c r="I62" s="13"/>
      <c r="J62" s="13"/>
      <c r="K62" s="13"/>
      <c r="L62" s="13"/>
      <c r="R62" t="s">
        <v>53</v>
      </c>
      <c r="U62" t="s">
        <v>57</v>
      </c>
    </row>
    <row r="63" spans="3:33">
      <c r="E63" s="13"/>
      <c r="F63" s="13"/>
      <c r="G63" s="13"/>
      <c r="H63" s="13"/>
      <c r="I63" s="13"/>
      <c r="J63" s="13"/>
      <c r="K63" s="13"/>
      <c r="L63" s="13"/>
      <c r="R63" t="s">
        <v>54</v>
      </c>
      <c r="U63" t="s">
        <v>58</v>
      </c>
    </row>
    <row r="64" spans="3:33">
      <c r="E64" s="13"/>
      <c r="F64" s="13"/>
      <c r="G64" s="13"/>
      <c r="H64" s="13"/>
      <c r="I64" s="13"/>
      <c r="J64" s="13"/>
      <c r="K64" s="13"/>
      <c r="L64" s="13"/>
      <c r="R64" t="s">
        <v>55</v>
      </c>
      <c r="U64" t="s">
        <v>59</v>
      </c>
    </row>
    <row r="65" spans="5:18">
      <c r="E65" s="13"/>
      <c r="F65" s="13"/>
      <c r="G65" s="13"/>
      <c r="H65" s="13"/>
      <c r="I65" s="13"/>
      <c r="J65" s="13"/>
      <c r="K65" s="13"/>
      <c r="L65" s="13"/>
      <c r="R65" t="s">
        <v>60</v>
      </c>
    </row>
    <row r="66" spans="5:18">
      <c r="E66" s="13"/>
      <c r="F66" s="13"/>
      <c r="G66" s="13"/>
      <c r="H66" s="13"/>
      <c r="I66" s="13"/>
      <c r="J66" s="13"/>
      <c r="K66" s="13"/>
      <c r="L66" s="13"/>
    </row>
    <row r="67" spans="5:18">
      <c r="E67" s="13"/>
      <c r="F67" s="13"/>
      <c r="G67" s="13"/>
      <c r="H67" s="13"/>
      <c r="I67" s="13"/>
      <c r="J67" s="13"/>
      <c r="K67" s="13"/>
      <c r="L67" s="13"/>
    </row>
    <row r="68" spans="5:18">
      <c r="E68" s="13"/>
      <c r="F68" s="13"/>
      <c r="G68" s="13"/>
      <c r="H68" s="13"/>
      <c r="I68" s="13"/>
      <c r="J68" s="13"/>
      <c r="K68" s="13"/>
      <c r="L68" s="13"/>
    </row>
    <row r="69" spans="5:18">
      <c r="E69" s="13"/>
      <c r="F69" s="13"/>
      <c r="G69" s="13"/>
      <c r="H69" s="13"/>
      <c r="I69" s="13"/>
      <c r="J69" s="13"/>
      <c r="K69" s="13"/>
      <c r="L69" s="13"/>
    </row>
    <row r="70" spans="5:18">
      <c r="E70" s="13"/>
      <c r="F70" s="13"/>
      <c r="G70" s="13"/>
      <c r="H70" s="13"/>
      <c r="I70" s="13"/>
      <c r="J70" s="13"/>
      <c r="K70" s="13"/>
      <c r="L70" s="13"/>
    </row>
    <row r="71" spans="5:18">
      <c r="E71" s="13"/>
      <c r="F71" s="13"/>
      <c r="G71" s="13"/>
      <c r="H71" s="13"/>
      <c r="I71" s="13"/>
      <c r="J71" s="13"/>
      <c r="K71" s="13"/>
      <c r="L71" s="13"/>
    </row>
    <row r="72" spans="5:18">
      <c r="E72" s="13"/>
      <c r="F72" s="13"/>
      <c r="G72" s="13"/>
      <c r="H72" s="13"/>
      <c r="I72" s="13"/>
      <c r="J72" s="13"/>
      <c r="K72" s="13"/>
      <c r="L72" s="13"/>
    </row>
    <row r="73" spans="5:18">
      <c r="E73" s="13"/>
      <c r="F73" s="13"/>
      <c r="G73" s="13"/>
      <c r="H73" s="13"/>
      <c r="I73" s="13"/>
      <c r="J73" s="13"/>
      <c r="K73" s="13"/>
      <c r="L73" s="13"/>
    </row>
    <row r="74" spans="5:18">
      <c r="E74" s="13"/>
      <c r="F74" s="13"/>
      <c r="G74" s="13"/>
      <c r="H74" s="13"/>
      <c r="I74" s="13"/>
      <c r="J74" s="13"/>
      <c r="K74" s="13"/>
      <c r="L74" s="13"/>
    </row>
    <row r="75" spans="5:18">
      <c r="E75" s="13"/>
      <c r="F75" s="13"/>
      <c r="G75" s="13"/>
      <c r="H75" s="13"/>
      <c r="I75" s="13"/>
      <c r="J75" s="13"/>
      <c r="K75" s="13"/>
      <c r="L75" s="13"/>
    </row>
    <row r="76" spans="5:18">
      <c r="E76" s="13"/>
      <c r="F76" s="13"/>
      <c r="G76" s="13"/>
      <c r="H76" s="13"/>
      <c r="I76" s="13"/>
      <c r="J76" s="13"/>
      <c r="K76" s="13"/>
      <c r="L76" s="13"/>
    </row>
    <row r="77" spans="5:18">
      <c r="E77" s="13"/>
      <c r="F77" s="13"/>
      <c r="G77" s="13"/>
      <c r="H77" s="13"/>
      <c r="I77" s="13"/>
      <c r="J77" s="13"/>
      <c r="K77" s="13"/>
      <c r="L77" s="13"/>
    </row>
    <row r="78" spans="5:18" ht="15" thickBot="1">
      <c r="E78" s="14"/>
      <c r="F78" s="14"/>
      <c r="G78" s="14"/>
      <c r="H78" s="14"/>
      <c r="I78" s="14"/>
      <c r="J78" s="14"/>
      <c r="K78" s="14"/>
      <c r="L78" s="14"/>
    </row>
    <row r="79" spans="5:18" ht="15" thickTop="1"/>
    <row r="81" spans="3:21">
      <c r="C81" t="s">
        <v>45</v>
      </c>
    </row>
    <row r="82" spans="3:21">
      <c r="C82" s="17" t="s">
        <v>44</v>
      </c>
      <c r="R82" s="17"/>
      <c r="U82" s="17" t="s">
        <v>51</v>
      </c>
    </row>
    <row r="83" spans="3:21">
      <c r="C83" s="18" t="s">
        <v>46</v>
      </c>
      <c r="G83" s="24" t="s">
        <v>71</v>
      </c>
      <c r="R83" s="17" t="s">
        <v>62</v>
      </c>
    </row>
    <row r="84" spans="3:21">
      <c r="C84" s="19" t="s">
        <v>47</v>
      </c>
      <c r="G84" t="s">
        <v>72</v>
      </c>
    </row>
    <row r="85" spans="3:21">
      <c r="G85" t="s">
        <v>73</v>
      </c>
    </row>
    <row r="86" spans="3:21">
      <c r="G86" t="s">
        <v>74</v>
      </c>
    </row>
    <row r="87" spans="3:21">
      <c r="G87" t="s">
        <v>61</v>
      </c>
      <c r="R87" t="s">
        <v>63</v>
      </c>
    </row>
    <row r="88" spans="3:21">
      <c r="R88" t="s">
        <v>64</v>
      </c>
    </row>
    <row r="89" spans="3:21">
      <c r="R89" t="s">
        <v>65</v>
      </c>
    </row>
    <row r="90" spans="3:21">
      <c r="C90" s="32" t="s">
        <v>92</v>
      </c>
      <c r="R90" t="s">
        <v>75</v>
      </c>
    </row>
    <row r="91" spans="3:21">
      <c r="C91" s="17" t="s">
        <v>90</v>
      </c>
    </row>
    <row r="93" spans="3:21">
      <c r="C93" s="34" t="s">
        <v>96</v>
      </c>
    </row>
    <row r="94" spans="3:21">
      <c r="C94" t="s">
        <v>97</v>
      </c>
    </row>
    <row r="95" spans="3:21">
      <c r="F95" s="517"/>
    </row>
    <row r="96" spans="3:21">
      <c r="C96" t="s">
        <v>120</v>
      </c>
      <c r="E96" t="s">
        <v>121</v>
      </c>
      <c r="F96" s="518" t="s">
        <v>105</v>
      </c>
    </row>
    <row r="97" spans="3:21" ht="18">
      <c r="C97" t="s">
        <v>91</v>
      </c>
      <c r="E97" s="33" t="s">
        <v>98</v>
      </c>
      <c r="F97" s="519" t="s">
        <v>106</v>
      </c>
      <c r="G97" s="17" t="s">
        <v>99</v>
      </c>
    </row>
    <row r="98" spans="3:21" ht="18">
      <c r="C98" t="s">
        <v>93</v>
      </c>
      <c r="E98" s="33" t="s">
        <v>94</v>
      </c>
      <c r="F98" s="517" t="s">
        <v>107</v>
      </c>
      <c r="G98" s="17" t="s">
        <v>95</v>
      </c>
    </row>
    <row r="99" spans="3:21">
      <c r="F99" s="517" t="s">
        <v>108</v>
      </c>
    </row>
    <row r="100" spans="3:21">
      <c r="F100" s="517" t="s">
        <v>109</v>
      </c>
      <c r="U100">
        <f>COUNTA(Work!#REF!)</f>
        <v>1</v>
      </c>
    </row>
    <row r="101" spans="3:21">
      <c r="F101" s="517" t="s">
        <v>110</v>
      </c>
    </row>
    <row r="102" spans="3:21">
      <c r="F102" s="517" t="s">
        <v>111</v>
      </c>
    </row>
    <row r="103" spans="3:21">
      <c r="F103" s="517"/>
    </row>
    <row r="104" spans="3:21">
      <c r="C104" s="35" t="s">
        <v>100</v>
      </c>
      <c r="F104" s="114"/>
      <c r="R104" s="17" t="s">
        <v>66</v>
      </c>
      <c r="U104" s="17" t="s">
        <v>76</v>
      </c>
    </row>
    <row r="105" spans="3:21">
      <c r="C105" s="17" t="s">
        <v>101</v>
      </c>
      <c r="F105" s="517" t="s">
        <v>113</v>
      </c>
    </row>
    <row r="106" spans="3:21">
      <c r="F106" s="517" t="s">
        <v>114</v>
      </c>
    </row>
    <row r="107" spans="3:21">
      <c r="F107" s="517" t="s">
        <v>115</v>
      </c>
      <c r="R107" t="s">
        <v>67</v>
      </c>
    </row>
    <row r="108" spans="3:21">
      <c r="C108" s="17" t="s">
        <v>119</v>
      </c>
      <c r="F108" s="517" t="s">
        <v>112</v>
      </c>
      <c r="R108" t="s">
        <v>68</v>
      </c>
    </row>
    <row r="109" spans="3:21">
      <c r="C109" s="18" t="s">
        <v>118</v>
      </c>
      <c r="E109" s="6"/>
      <c r="F109" s="114"/>
      <c r="R109" t="s">
        <v>69</v>
      </c>
    </row>
    <row r="110" spans="3:21">
      <c r="R110" t="s">
        <v>70</v>
      </c>
    </row>
    <row r="115" spans="3:21">
      <c r="C115" s="17" t="s">
        <v>125</v>
      </c>
    </row>
    <row r="116" spans="3:21">
      <c r="C116" s="25" t="s">
        <v>124</v>
      </c>
    </row>
    <row r="126" spans="3:21">
      <c r="R126" s="17" t="s">
        <v>81</v>
      </c>
      <c r="U126" s="17" t="s">
        <v>105</v>
      </c>
    </row>
    <row r="127" spans="3:21">
      <c r="E127" t="s">
        <v>122</v>
      </c>
      <c r="R127" s="25" t="s">
        <v>82</v>
      </c>
      <c r="U127" s="25" t="s">
        <v>106</v>
      </c>
    </row>
    <row r="128" spans="3:21">
      <c r="E128" t="s">
        <v>123</v>
      </c>
      <c r="R128" s="26" t="s">
        <v>83</v>
      </c>
      <c r="S128" s="26"/>
      <c r="U128" t="s">
        <v>107</v>
      </c>
    </row>
    <row r="129" spans="5:22">
      <c r="E129" t="s">
        <v>126</v>
      </c>
      <c r="U129" t="s">
        <v>108</v>
      </c>
      <c r="V129" t="s">
        <v>113</v>
      </c>
    </row>
    <row r="130" spans="5:22">
      <c r="R130" s="17" t="s">
        <v>85</v>
      </c>
      <c r="U130" t="s">
        <v>109</v>
      </c>
      <c r="V130" t="s">
        <v>114</v>
      </c>
    </row>
    <row r="131" spans="5:22">
      <c r="R131" s="25" t="s">
        <v>84</v>
      </c>
      <c r="U131" t="s">
        <v>110</v>
      </c>
      <c r="V131" t="s">
        <v>115</v>
      </c>
    </row>
    <row r="132" spans="5:22">
      <c r="U132" t="s">
        <v>111</v>
      </c>
      <c r="V132" t="s">
        <v>112</v>
      </c>
    </row>
    <row r="133" spans="5:22">
      <c r="R133" s="17" t="s">
        <v>87</v>
      </c>
    </row>
    <row r="134" spans="5:22">
      <c r="R134" s="27" t="s">
        <v>86</v>
      </c>
    </row>
    <row r="136" spans="5:22">
      <c r="R136" s="28" t="s">
        <v>89</v>
      </c>
      <c r="S136" s="29"/>
      <c r="T136" s="29"/>
    </row>
    <row r="137" spans="5:22">
      <c r="R137" s="30" t="s">
        <v>88</v>
      </c>
      <c r="S137" s="29"/>
      <c r="T137" s="29"/>
    </row>
  </sheetData>
  <mergeCells count="1">
    <mergeCell ref="C2:C4"/>
  </mergeCells>
  <conditionalFormatting sqref="S45">
    <cfRule type="expression" dxfId="135" priority="2">
      <formula>CheckVal_D2</formula>
    </cfRule>
  </conditionalFormatting>
  <conditionalFormatting sqref="S44">
    <cfRule type="expression" dxfId="134" priority="1">
      <formula>CheckVal_D2</formula>
    </cfRule>
  </conditionalFormatting>
  <dataValidations count="3">
    <dataValidation type="list" allowBlank="1" showInputMessage="1" showErrorMessage="1" promptTitle="Undefined" sqref="R45" xr:uid="{00000000-0002-0000-1100-000000000000}">
      <formula1>$E$18:$I$18</formula1>
    </dataValidation>
    <dataValidation type="list" allowBlank="1" showErrorMessage="1" sqref="C7" xr:uid="{00000000-0002-0000-1100-000001000000}">
      <formula1>$E$18:$V$18</formula1>
    </dataValidation>
    <dataValidation type="list" allowBlank="1" showInputMessage="1" showErrorMessage="1" sqref="S45" xr:uid="{00000000-0002-0000-1100-000002000000}">
      <formula1>OFFSET($E$18,1,MATCH($R$45,$E$18:$I$18,0)-1,COUNTA(OFFSET($E$18,1,MATCH($R$45,$E$18:$I$18,0)-1,40,1)),1)</formula1>
    </dataValidation>
  </dataValidations>
  <hyperlinks>
    <hyperlink ref="C82" r:id="rId1" xr:uid="{00000000-0004-0000-1100-000000000000}"/>
    <hyperlink ref="C84" r:id="rId2" display="https://www.youtube.com/channel/UCJtUOos_MwJa_Ewii-R3cJA" xr:uid="{00000000-0004-0000-1100-000001000000}"/>
    <hyperlink ref="U82" r:id="rId3" xr:uid="{00000000-0004-0000-1100-000002000000}"/>
    <hyperlink ref="R58" r:id="rId4" xr:uid="{00000000-0004-0000-1100-000003000000}"/>
    <hyperlink ref="U58" r:id="rId5" xr:uid="{00000000-0004-0000-1100-000004000000}"/>
    <hyperlink ref="R83" r:id="rId6" xr:uid="{00000000-0004-0000-1100-000005000000}"/>
    <hyperlink ref="R104" r:id="rId7" xr:uid="{00000000-0004-0000-1100-000006000000}"/>
    <hyperlink ref="U104" r:id="rId8" xr:uid="{00000000-0004-0000-1100-000007000000}"/>
    <hyperlink ref="R126" r:id="rId9" xr:uid="{00000000-0004-0000-1100-000008000000}"/>
    <hyperlink ref="R130" r:id="rId10" xr:uid="{00000000-0004-0000-1100-000009000000}"/>
    <hyperlink ref="R134" r:id="rId11" tooltip="Fomat Cell Based on Value of Another Cell in Excel" display="https://www.youtube.com/watch?v=jOuWsIVsd8Q" xr:uid="{00000000-0004-0000-1100-00000A000000}"/>
    <hyperlink ref="R133" r:id="rId12" xr:uid="{00000000-0004-0000-1100-00000B000000}"/>
    <hyperlink ref="R136" r:id="rId13" xr:uid="{00000000-0004-0000-1100-00000C000000}"/>
    <hyperlink ref="C91" r:id="rId14" xr:uid="{00000000-0004-0000-1100-00000D000000}"/>
    <hyperlink ref="G98" r:id="rId15" xr:uid="{00000000-0004-0000-1100-00000E000000}"/>
    <hyperlink ref="G97" r:id="rId16" xr:uid="{00000000-0004-0000-1100-00000F000000}"/>
    <hyperlink ref="C105" r:id="rId17" xr:uid="{00000000-0004-0000-1100-000010000000}"/>
    <hyperlink ref="U126" r:id="rId18" xr:uid="{00000000-0004-0000-1100-000011000000}"/>
    <hyperlink ref="C108" r:id="rId19" xr:uid="{00000000-0004-0000-1100-000012000000}"/>
    <hyperlink ref="C115" r:id="rId20" xr:uid="{00000000-0004-0000-1100-000013000000}"/>
    <hyperlink ref="F96" r:id="rId21" xr:uid="{00000000-0004-0000-1100-000014000000}"/>
  </hyperlinks>
  <pageMargins left="0.7" right="0.7" top="0.75" bottom="0.75" header="0.3" footer="0.3"/>
  <pageSetup orientation="portrait" verticalDpi="0" r:id="rId22"/>
  <drawing r:id="rId2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rgb="FFFFC000"/>
  </sheetPr>
  <dimension ref="A1:M154"/>
  <sheetViews>
    <sheetView workbookViewId="0">
      <selection activeCell="B41" sqref="B41"/>
    </sheetView>
  </sheetViews>
  <sheetFormatPr defaultRowHeight="14.6"/>
  <cols>
    <col min="1" max="1" width="15" style="23" customWidth="1"/>
    <col min="2" max="2" width="66.69140625" customWidth="1"/>
    <col min="3" max="3" width="64.15234375" customWidth="1"/>
    <col min="4" max="4" width="112.15234375" customWidth="1"/>
    <col min="5" max="5" width="90.53515625" customWidth="1"/>
    <col min="6" max="6" width="122.3828125" customWidth="1"/>
    <col min="7" max="7" width="84.3828125" customWidth="1"/>
    <col min="8" max="8" width="119.69140625" customWidth="1"/>
    <col min="9" max="9" width="60.69140625" customWidth="1"/>
    <col min="10" max="10" width="125.15234375" customWidth="1"/>
    <col min="11" max="12" width="60.69140625" customWidth="1"/>
    <col min="13" max="13" width="32.69140625" customWidth="1"/>
  </cols>
  <sheetData>
    <row r="1" spans="1:13" ht="15" thickBot="1"/>
    <row r="2" spans="1:13" ht="16.3" thickTop="1">
      <c r="A2" s="565" t="s">
        <v>806</v>
      </c>
      <c r="B2" s="574" t="s">
        <v>807</v>
      </c>
    </row>
    <row r="3" spans="1:13">
      <c r="A3" s="566" t="s">
        <v>804</v>
      </c>
      <c r="B3" s="567">
        <f>VALUE(CONCATENATE(_xlfn.IFNA(MATCH(Work!AD$8,'E2'!D$39:D$78,0),""),_xlfn.IFNA(MATCH(Work!AD$8,'E2'!E$39:E$78,0),""), _xlfn.IFNA(MATCH(Work!AD$8,'E2'!F$39:F$78,0),""), _xlfn.IFNA(MATCH(Work!AD$8,'E2'!G$39:G$78,0),""),_xlfn.IFNA(MATCH(Work!AD$8,'E2'!H$39:H$78,0),""),_xlfn.IFNA(MATCH(Work!AD$8,'E2'!I$39:I$78,0),""),_xlfn.IFNA(MATCH(Work!AD$8,'E2'!J$39:J$78,0),""),_xlfn.IFNA(MATCH(Work!AD$8,'E2'!K$39:K$78,0),"") ) )</f>
        <v>2</v>
      </c>
    </row>
    <row r="4" spans="1:13" ht="15" thickBot="1">
      <c r="A4" s="568" t="s">
        <v>805</v>
      </c>
      <c r="B4" s="569" t="s">
        <v>891</v>
      </c>
      <c r="C4" s="540"/>
    </row>
    <row r="5" spans="1:13" ht="15" thickTop="1">
      <c r="A5"/>
    </row>
    <row r="6" spans="1:13">
      <c r="A6"/>
    </row>
    <row r="7" spans="1:13">
      <c r="A7"/>
    </row>
    <row r="8" spans="1:13">
      <c r="A8"/>
    </row>
    <row r="9" spans="1:13">
      <c r="A9"/>
    </row>
    <row r="10" spans="1:13">
      <c r="A10"/>
    </row>
    <row r="11" spans="1:13">
      <c r="A11"/>
    </row>
    <row r="12" spans="1:13">
      <c r="A12"/>
    </row>
    <row r="13" spans="1:13">
      <c r="A13"/>
    </row>
    <row r="14" spans="1:13">
      <c r="A14"/>
    </row>
    <row r="15" spans="1:13">
      <c r="A15"/>
    </row>
    <row r="16" spans="1:13">
      <c r="C16" s="23" t="s">
        <v>77</v>
      </c>
      <c r="D16" s="23" t="s">
        <v>78</v>
      </c>
      <c r="E16" s="23" t="s">
        <v>79</v>
      </c>
      <c r="F16" s="23" t="s">
        <v>80</v>
      </c>
      <c r="G16" s="23" t="s">
        <v>192</v>
      </c>
      <c r="H16" s="23" t="s">
        <v>725</v>
      </c>
      <c r="I16" s="23" t="s">
        <v>726</v>
      </c>
      <c r="J16" s="23" t="s">
        <v>727</v>
      </c>
      <c r="K16" s="23"/>
      <c r="L16" s="23"/>
      <c r="M16" s="23"/>
    </row>
    <row r="17" spans="1:13" ht="15" thickBot="1">
      <c r="A17"/>
      <c r="C17" s="120" t="s">
        <v>772</v>
      </c>
      <c r="D17" s="1" t="s">
        <v>0</v>
      </c>
    </row>
    <row r="18" spans="1:13" ht="19.3" thickTop="1" thickBot="1">
      <c r="A18"/>
      <c r="B18" s="577" t="s">
        <v>724</v>
      </c>
      <c r="C18" s="459" t="s">
        <v>714</v>
      </c>
      <c r="D18" s="459" t="s">
        <v>715</v>
      </c>
      <c r="E18" s="459" t="s">
        <v>455</v>
      </c>
      <c r="F18" s="459" t="s">
        <v>528</v>
      </c>
      <c r="G18" s="459" t="s">
        <v>590</v>
      </c>
      <c r="H18" s="460" t="s">
        <v>633</v>
      </c>
      <c r="I18" s="461" t="s">
        <v>660</v>
      </c>
      <c r="J18" s="462" t="s">
        <v>665</v>
      </c>
      <c r="K18" s="23"/>
      <c r="L18" s="23"/>
      <c r="M18" s="23"/>
    </row>
    <row r="19" spans="1:13" ht="15" thickTop="1">
      <c r="A19"/>
      <c r="B19" s="104" t="s">
        <v>204</v>
      </c>
      <c r="C19" s="104" t="s">
        <v>781</v>
      </c>
      <c r="D19" s="104" t="s">
        <v>780</v>
      </c>
      <c r="E19" s="104" t="s">
        <v>779</v>
      </c>
      <c r="F19" s="104" t="s">
        <v>778</v>
      </c>
      <c r="G19" s="104" t="s">
        <v>777</v>
      </c>
      <c r="H19" s="104" t="s">
        <v>776</v>
      </c>
      <c r="I19" s="104" t="s">
        <v>775</v>
      </c>
      <c r="J19" s="104" t="s">
        <v>774</v>
      </c>
      <c r="K19" s="23"/>
      <c r="L19" s="23"/>
      <c r="M19" s="23"/>
    </row>
    <row r="20" spans="1:13" ht="15" thickBot="1">
      <c r="A20"/>
      <c r="B20" s="94"/>
      <c r="C20" s="787"/>
      <c r="D20" s="787"/>
      <c r="E20" s="787"/>
      <c r="F20" s="787"/>
      <c r="G20" s="787"/>
      <c r="H20" s="787"/>
      <c r="I20" s="787"/>
      <c r="J20" s="787"/>
      <c r="K20" s="23"/>
      <c r="L20" s="23"/>
      <c r="M20" s="23"/>
    </row>
    <row r="21" spans="1:13" ht="19.3" thickTop="1" thickBot="1">
      <c r="A21"/>
      <c r="B21" s="573" t="s">
        <v>728</v>
      </c>
      <c r="C21" s="94"/>
      <c r="D21" s="94"/>
      <c r="E21" s="94"/>
      <c r="F21" s="94"/>
      <c r="G21" s="94"/>
      <c r="H21" s="787"/>
      <c r="I21" s="787"/>
      <c r="J21" s="787"/>
      <c r="K21" s="23"/>
      <c r="L21" s="23"/>
      <c r="M21" s="23"/>
    </row>
    <row r="22" spans="1:13" ht="15" thickTop="1">
      <c r="A22"/>
      <c r="B22" s="570" t="s">
        <v>714</v>
      </c>
      <c r="C22" s="94"/>
      <c r="D22" s="94"/>
      <c r="E22" s="94"/>
      <c r="F22" s="94"/>
      <c r="G22" s="94"/>
      <c r="H22" s="787"/>
      <c r="I22" s="787"/>
      <c r="J22" s="787"/>
      <c r="K22" s="23"/>
      <c r="L22" s="23"/>
      <c r="M22" s="23"/>
    </row>
    <row r="23" spans="1:13">
      <c r="A23"/>
      <c r="B23" s="571" t="s">
        <v>715</v>
      </c>
      <c r="C23" s="94"/>
      <c r="D23" s="94"/>
      <c r="E23" s="94"/>
      <c r="F23" s="94"/>
      <c r="G23" s="94"/>
      <c r="H23" s="787"/>
      <c r="I23" s="787"/>
      <c r="J23" s="787"/>
      <c r="K23" s="23"/>
      <c r="L23" s="23"/>
      <c r="M23" s="23"/>
    </row>
    <row r="24" spans="1:13">
      <c r="A24"/>
      <c r="B24" s="571" t="s">
        <v>455</v>
      </c>
      <c r="C24" s="94"/>
      <c r="D24" s="94"/>
      <c r="E24" s="94"/>
      <c r="F24" s="94"/>
      <c r="G24" s="94"/>
      <c r="H24" s="787"/>
      <c r="I24" s="787"/>
      <c r="J24" s="787"/>
      <c r="K24" s="23"/>
      <c r="L24" s="23"/>
      <c r="M24" s="23"/>
    </row>
    <row r="25" spans="1:13">
      <c r="A25"/>
      <c r="B25" s="571" t="s">
        <v>528</v>
      </c>
      <c r="C25" s="94"/>
      <c r="D25" s="94"/>
      <c r="E25" s="94"/>
      <c r="F25" s="94"/>
      <c r="G25" s="94"/>
      <c r="H25" s="787"/>
      <c r="I25" s="787"/>
      <c r="J25" s="787"/>
      <c r="K25" s="23"/>
      <c r="L25" s="23"/>
      <c r="M25" s="23"/>
    </row>
    <row r="26" spans="1:13">
      <c r="A26"/>
      <c r="B26" s="571" t="s">
        <v>590</v>
      </c>
      <c r="C26" s="94"/>
      <c r="D26" s="94"/>
      <c r="E26" s="94"/>
      <c r="F26" s="94"/>
      <c r="G26" s="94"/>
      <c r="H26" s="787"/>
      <c r="I26" s="787"/>
      <c r="J26" s="787"/>
      <c r="K26" s="23"/>
      <c r="L26" s="23"/>
      <c r="M26" s="23"/>
    </row>
    <row r="27" spans="1:13">
      <c r="A27"/>
      <c r="B27" s="571" t="s">
        <v>633</v>
      </c>
      <c r="C27" s="94"/>
      <c r="D27" s="94"/>
      <c r="E27" s="94"/>
      <c r="F27" s="94"/>
      <c r="G27" s="94"/>
      <c r="H27" s="787"/>
      <c r="I27" s="787"/>
      <c r="J27" s="787"/>
      <c r="K27" s="23"/>
      <c r="L27" s="23"/>
      <c r="M27" s="23"/>
    </row>
    <row r="28" spans="1:13">
      <c r="A28"/>
      <c r="B28" s="571" t="s">
        <v>660</v>
      </c>
      <c r="C28" s="94"/>
      <c r="D28" s="94"/>
      <c r="E28" s="94"/>
      <c r="F28" s="94"/>
      <c r="G28" s="94"/>
      <c r="H28" s="787"/>
      <c r="I28" s="787"/>
      <c r="J28" s="787"/>
      <c r="K28" s="23"/>
      <c r="L28" s="23"/>
      <c r="M28" s="23"/>
    </row>
    <row r="29" spans="1:13" ht="15" thickBot="1">
      <c r="A29"/>
      <c r="B29" s="572" t="s">
        <v>665</v>
      </c>
      <c r="C29" s="94"/>
      <c r="D29" s="94"/>
      <c r="E29" s="94"/>
      <c r="F29" s="94"/>
      <c r="G29" s="94"/>
      <c r="H29" s="787"/>
      <c r="I29" s="787"/>
      <c r="J29" s="787"/>
      <c r="K29" s="23"/>
      <c r="L29" s="23"/>
      <c r="M29" s="23"/>
    </row>
    <row r="30" spans="1:13" ht="15" thickTop="1">
      <c r="A30"/>
      <c r="B30" s="93"/>
      <c r="C30" s="94"/>
      <c r="D30" s="94"/>
      <c r="E30" s="94"/>
      <c r="F30" s="94"/>
      <c r="G30" s="94"/>
      <c r="H30" s="787"/>
      <c r="I30" s="787"/>
      <c r="J30" s="787"/>
      <c r="K30" s="23"/>
      <c r="L30" s="23"/>
      <c r="M30" s="23"/>
    </row>
    <row r="31" spans="1:13">
      <c r="A31"/>
      <c r="B31" s="94"/>
      <c r="C31" s="94"/>
      <c r="D31" s="94"/>
      <c r="E31" s="94"/>
      <c r="F31" s="94"/>
      <c r="G31" s="94"/>
      <c r="H31" s="787"/>
      <c r="I31" s="787"/>
      <c r="J31" s="787"/>
      <c r="K31" s="23"/>
      <c r="L31" s="23"/>
      <c r="M31" s="23"/>
    </row>
    <row r="32" spans="1:13">
      <c r="A32"/>
      <c r="B32" s="94"/>
      <c r="C32" s="94"/>
      <c r="D32" s="94"/>
      <c r="E32" s="94"/>
      <c r="F32" s="94"/>
      <c r="G32" s="94"/>
      <c r="H32" s="787"/>
      <c r="I32" s="787"/>
      <c r="J32" s="787"/>
      <c r="K32" s="23"/>
      <c r="L32" s="23"/>
      <c r="M32" s="23"/>
    </row>
    <row r="33" spans="1:13">
      <c r="A33"/>
      <c r="B33" s="94"/>
      <c r="C33" s="94"/>
      <c r="D33" s="94"/>
      <c r="E33" s="94"/>
      <c r="F33" s="94"/>
      <c r="G33" s="94"/>
      <c r="H33" s="787"/>
      <c r="I33" s="787"/>
      <c r="J33" s="787"/>
      <c r="K33" s="23"/>
      <c r="L33" s="23"/>
      <c r="M33" s="23"/>
    </row>
    <row r="34" spans="1:13">
      <c r="A34"/>
      <c r="B34" s="94"/>
      <c r="C34" s="94"/>
      <c r="D34" s="94"/>
      <c r="E34" s="94"/>
      <c r="F34" s="94"/>
      <c r="G34" s="94"/>
      <c r="H34" s="787"/>
      <c r="I34" s="787"/>
      <c r="J34" s="787"/>
      <c r="K34" s="23"/>
      <c r="L34" s="23"/>
      <c r="M34" s="23"/>
    </row>
    <row r="35" spans="1:13">
      <c r="A35"/>
      <c r="B35" s="94"/>
      <c r="C35" s="94"/>
      <c r="D35" s="94"/>
      <c r="E35" s="94"/>
      <c r="F35" s="94"/>
      <c r="G35" s="94"/>
      <c r="H35" s="787"/>
      <c r="I35" s="787"/>
      <c r="J35" s="787"/>
      <c r="K35" s="23"/>
      <c r="L35" s="23"/>
      <c r="M35" s="23"/>
    </row>
    <row r="36" spans="1:13">
      <c r="A36"/>
      <c r="B36" s="94"/>
      <c r="C36" s="787"/>
      <c r="D36" s="787"/>
      <c r="E36" s="787"/>
      <c r="F36" s="787"/>
      <c r="G36" s="787"/>
      <c r="H36" s="787"/>
      <c r="I36" s="787"/>
      <c r="J36" s="787"/>
      <c r="K36" s="23"/>
      <c r="L36" s="23"/>
      <c r="M36" s="23"/>
    </row>
    <row r="37" spans="1:13" ht="15" thickBot="1">
      <c r="A37"/>
      <c r="B37" s="880"/>
      <c r="C37" s="880" t="s">
        <v>773</v>
      </c>
      <c r="D37" s="880" t="s">
        <v>754</v>
      </c>
      <c r="E37" s="880" t="s">
        <v>755</v>
      </c>
      <c r="F37" s="880" t="s">
        <v>756</v>
      </c>
      <c r="G37" s="880" t="s">
        <v>757</v>
      </c>
      <c r="H37" s="876" t="s">
        <v>758</v>
      </c>
      <c r="I37" s="876" t="s">
        <v>759</v>
      </c>
      <c r="J37" s="876" t="s">
        <v>760</v>
      </c>
      <c r="K37" s="23"/>
      <c r="L37" s="23"/>
      <c r="M37" s="23"/>
    </row>
    <row r="38" spans="1:13" ht="15.45" thickTop="1" thickBot="1">
      <c r="A38"/>
      <c r="B38" s="411"/>
      <c r="C38" s="459" t="s">
        <v>714</v>
      </c>
      <c r="D38" s="459" t="s">
        <v>715</v>
      </c>
      <c r="E38" s="459" t="s">
        <v>455</v>
      </c>
      <c r="F38" s="459" t="s">
        <v>528</v>
      </c>
      <c r="G38" s="459" t="s">
        <v>590</v>
      </c>
      <c r="H38" s="460" t="s">
        <v>633</v>
      </c>
      <c r="I38" s="461" t="s">
        <v>660</v>
      </c>
      <c r="J38" s="462" t="s">
        <v>665</v>
      </c>
      <c r="K38" s="23"/>
      <c r="L38" s="23"/>
      <c r="M38" s="23"/>
    </row>
    <row r="39" spans="1:13" ht="58.75" thickTop="1">
      <c r="A39"/>
      <c r="B39" s="341"/>
      <c r="C39" s="551" t="s">
        <v>808</v>
      </c>
      <c r="D39" s="552" t="s">
        <v>813</v>
      </c>
      <c r="E39" s="553" t="s">
        <v>819</v>
      </c>
      <c r="F39" s="554" t="s">
        <v>833</v>
      </c>
      <c r="G39" s="541" t="s">
        <v>849</v>
      </c>
      <c r="H39" s="542" t="s">
        <v>860</v>
      </c>
      <c r="I39" s="541" t="s">
        <v>883</v>
      </c>
      <c r="J39" s="542" t="s">
        <v>885</v>
      </c>
    </row>
    <row r="40" spans="1:13" ht="43.75">
      <c r="A40"/>
      <c r="B40" s="341"/>
      <c r="C40" s="555" t="s">
        <v>809</v>
      </c>
      <c r="D40" s="556" t="s">
        <v>814</v>
      </c>
      <c r="E40" s="557" t="s">
        <v>820</v>
      </c>
      <c r="F40" s="558" t="s">
        <v>834</v>
      </c>
      <c r="G40" s="543" t="s">
        <v>850</v>
      </c>
      <c r="H40" s="544" t="s">
        <v>861</v>
      </c>
      <c r="I40" s="545" t="s">
        <v>884</v>
      </c>
      <c r="J40" s="544" t="s">
        <v>886</v>
      </c>
    </row>
    <row r="41" spans="1:13" ht="51.45">
      <c r="A41"/>
      <c r="B41" s="341"/>
      <c r="C41" s="555" t="s">
        <v>810</v>
      </c>
      <c r="D41" s="546" t="s">
        <v>815</v>
      </c>
      <c r="E41" s="557" t="s">
        <v>821</v>
      </c>
      <c r="F41" s="558" t="s">
        <v>835</v>
      </c>
      <c r="G41" s="543" t="s">
        <v>851</v>
      </c>
      <c r="H41" s="544" t="s">
        <v>862</v>
      </c>
      <c r="I41" s="547"/>
      <c r="J41" s="544" t="s">
        <v>887</v>
      </c>
    </row>
    <row r="42" spans="1:13" ht="58.75" thickBot="1">
      <c r="A42"/>
      <c r="B42" s="341"/>
      <c r="C42" s="555" t="s">
        <v>811</v>
      </c>
      <c r="D42" s="546" t="s">
        <v>816</v>
      </c>
      <c r="E42" s="557" t="s">
        <v>822</v>
      </c>
      <c r="F42" s="559" t="s">
        <v>836</v>
      </c>
      <c r="G42" s="545" t="s">
        <v>852</v>
      </c>
      <c r="H42" s="544" t="s">
        <v>863</v>
      </c>
      <c r="I42" s="547"/>
      <c r="J42" s="544" t="s">
        <v>888</v>
      </c>
    </row>
    <row r="43" spans="1:13" ht="52.3" thickTop="1" thickBot="1">
      <c r="A43"/>
      <c r="B43" s="472" t="s">
        <v>730</v>
      </c>
      <c r="C43" s="555" t="s">
        <v>812</v>
      </c>
      <c r="D43" s="546" t="s">
        <v>817</v>
      </c>
      <c r="E43" s="557" t="s">
        <v>823</v>
      </c>
      <c r="F43" s="558" t="s">
        <v>837</v>
      </c>
      <c r="G43" s="545" t="s">
        <v>853</v>
      </c>
      <c r="H43" s="544" t="s">
        <v>864</v>
      </c>
      <c r="I43" s="547"/>
      <c r="J43" s="544" t="s">
        <v>889</v>
      </c>
    </row>
    <row r="44" spans="1:13" ht="51.9" thickTop="1">
      <c r="A44"/>
      <c r="B44" s="341"/>
      <c r="C44" s="560"/>
      <c r="D44" s="546" t="s">
        <v>818</v>
      </c>
      <c r="E44" s="557" t="s">
        <v>824</v>
      </c>
      <c r="F44" s="558" t="s">
        <v>838</v>
      </c>
      <c r="G44" s="545" t="s">
        <v>854</v>
      </c>
      <c r="H44" s="544" t="s">
        <v>865</v>
      </c>
      <c r="I44" s="547"/>
      <c r="J44" s="544" t="s">
        <v>890</v>
      </c>
    </row>
    <row r="45" spans="1:13" ht="51.45">
      <c r="A45"/>
      <c r="B45" s="341"/>
      <c r="C45" s="560"/>
      <c r="D45" s="547"/>
      <c r="E45" s="557" t="s">
        <v>825</v>
      </c>
      <c r="F45" s="558" t="s">
        <v>839</v>
      </c>
      <c r="G45" s="545" t="s">
        <v>855</v>
      </c>
      <c r="H45" s="544" t="s">
        <v>866</v>
      </c>
      <c r="I45" s="547"/>
      <c r="J45" s="547"/>
    </row>
    <row r="46" spans="1:13" ht="38.6">
      <c r="A46"/>
      <c r="B46" s="341"/>
      <c r="C46" s="560"/>
      <c r="D46" s="547"/>
      <c r="E46" s="557" t="s">
        <v>826</v>
      </c>
      <c r="F46" s="558" t="s">
        <v>840</v>
      </c>
      <c r="G46" s="545" t="s">
        <v>856</v>
      </c>
      <c r="H46" s="544" t="s">
        <v>867</v>
      </c>
      <c r="I46" s="547"/>
      <c r="J46" s="547"/>
    </row>
    <row r="47" spans="1:13" ht="58.3">
      <c r="A47"/>
      <c r="B47" s="341"/>
      <c r="C47" s="560"/>
      <c r="D47" s="547"/>
      <c r="E47" s="557" t="s">
        <v>827</v>
      </c>
      <c r="F47" s="558" t="s">
        <v>841</v>
      </c>
      <c r="G47" s="548" t="s">
        <v>857</v>
      </c>
      <c r="H47" s="544" t="s">
        <v>868</v>
      </c>
      <c r="I47" s="547"/>
      <c r="J47" s="547"/>
    </row>
    <row r="48" spans="1:13" ht="43.75">
      <c r="A48"/>
      <c r="B48" s="341"/>
      <c r="C48" s="560"/>
      <c r="D48" s="547"/>
      <c r="E48" s="557" t="s">
        <v>828</v>
      </c>
      <c r="F48" s="558" t="s">
        <v>842</v>
      </c>
      <c r="G48" s="545" t="s">
        <v>858</v>
      </c>
      <c r="H48" s="544" t="s">
        <v>869</v>
      </c>
      <c r="I48" s="547"/>
      <c r="J48" s="547"/>
    </row>
    <row r="49" spans="1:10" ht="43.75">
      <c r="A49"/>
      <c r="B49" s="341"/>
      <c r="C49" s="561"/>
      <c r="D49" s="547"/>
      <c r="E49" s="557" t="s">
        <v>829</v>
      </c>
      <c r="F49" s="558" t="s">
        <v>843</v>
      </c>
      <c r="G49" s="545" t="s">
        <v>859</v>
      </c>
      <c r="H49" s="544" t="s">
        <v>870</v>
      </c>
      <c r="I49" s="547"/>
      <c r="J49" s="547"/>
    </row>
    <row r="50" spans="1:10" ht="51.45">
      <c r="A50"/>
      <c r="B50" s="341"/>
      <c r="C50" s="547"/>
      <c r="D50" s="547"/>
      <c r="E50" s="557" t="s">
        <v>830</v>
      </c>
      <c r="F50" s="558" t="s">
        <v>782</v>
      </c>
      <c r="G50" s="545" t="s">
        <v>872</v>
      </c>
      <c r="H50" s="544" t="s">
        <v>871</v>
      </c>
      <c r="I50" s="547"/>
      <c r="J50" s="547"/>
    </row>
    <row r="51" spans="1:10" ht="43.75">
      <c r="A51"/>
      <c r="B51" s="341"/>
      <c r="C51" s="547"/>
      <c r="D51" s="547"/>
      <c r="E51" s="562" t="s">
        <v>831</v>
      </c>
      <c r="F51" s="563" t="s">
        <v>844</v>
      </c>
      <c r="G51" s="545" t="s">
        <v>873</v>
      </c>
      <c r="H51" s="544" t="s">
        <v>882</v>
      </c>
      <c r="I51" s="547"/>
      <c r="J51" s="547"/>
    </row>
    <row r="52" spans="1:10" ht="64.3">
      <c r="A52"/>
      <c r="B52" s="341"/>
      <c r="C52" s="547"/>
      <c r="D52" s="547"/>
      <c r="E52" s="564" t="s">
        <v>832</v>
      </c>
      <c r="F52" s="544" t="s">
        <v>845</v>
      </c>
      <c r="G52" s="545" t="s">
        <v>874</v>
      </c>
      <c r="H52" s="547"/>
      <c r="I52" s="547"/>
      <c r="J52" s="547"/>
    </row>
    <row r="53" spans="1:10" ht="72.900000000000006">
      <c r="A53"/>
      <c r="B53" s="341"/>
      <c r="C53" s="547"/>
      <c r="D53" s="547"/>
      <c r="E53" s="547"/>
      <c r="F53" s="544" t="s">
        <v>846</v>
      </c>
      <c r="G53" s="545" t="s">
        <v>875</v>
      </c>
      <c r="H53" s="547"/>
      <c r="I53" s="547"/>
      <c r="J53" s="547"/>
    </row>
    <row r="54" spans="1:10" ht="87.45">
      <c r="A54"/>
      <c r="B54" s="341"/>
      <c r="C54" s="547"/>
      <c r="D54" s="547"/>
      <c r="E54" s="547"/>
      <c r="F54" s="544" t="s">
        <v>847</v>
      </c>
      <c r="G54" s="545" t="s">
        <v>876</v>
      </c>
      <c r="H54" s="547"/>
      <c r="I54" s="547"/>
      <c r="J54" s="547"/>
    </row>
    <row r="55" spans="1:10" ht="29.15">
      <c r="A55"/>
      <c r="B55" s="341"/>
      <c r="C55" s="547"/>
      <c r="D55" s="547"/>
      <c r="E55" s="547"/>
      <c r="F55" s="544" t="s">
        <v>848</v>
      </c>
      <c r="G55" s="545" t="s">
        <v>877</v>
      </c>
      <c r="H55" s="547"/>
      <c r="I55" s="547"/>
      <c r="J55" s="547"/>
    </row>
    <row r="56" spans="1:10" ht="58.3">
      <c r="A56"/>
      <c r="B56" s="341"/>
      <c r="C56" s="547"/>
      <c r="D56" s="547"/>
      <c r="E56" s="547"/>
      <c r="F56" s="547"/>
      <c r="G56" s="545" t="s">
        <v>878</v>
      </c>
      <c r="H56" s="547"/>
      <c r="I56" s="547"/>
      <c r="J56" s="547"/>
    </row>
    <row r="57" spans="1:10" ht="43.75">
      <c r="A57"/>
      <c r="B57" s="341"/>
      <c r="C57" s="547"/>
      <c r="D57" s="547"/>
      <c r="E57" s="547"/>
      <c r="F57" s="547"/>
      <c r="G57" s="545" t="s">
        <v>879</v>
      </c>
      <c r="H57" s="547"/>
      <c r="I57" s="547"/>
      <c r="J57" s="547"/>
    </row>
    <row r="58" spans="1:10" ht="73.3" thickBot="1">
      <c r="A58"/>
      <c r="B58" s="421"/>
      <c r="C58" s="547"/>
      <c r="D58" s="547"/>
      <c r="E58" s="547"/>
      <c r="F58" s="547"/>
      <c r="G58" s="545" t="s">
        <v>880</v>
      </c>
      <c r="H58" s="547"/>
      <c r="I58" s="547"/>
      <c r="J58" s="547"/>
    </row>
    <row r="59" spans="1:10" ht="73.3" thickTop="1">
      <c r="A59"/>
      <c r="C59" s="547"/>
      <c r="D59" s="547"/>
      <c r="E59" s="547"/>
      <c r="F59" s="547"/>
      <c r="G59" s="545" t="s">
        <v>881</v>
      </c>
      <c r="H59" s="547"/>
      <c r="I59" s="547"/>
      <c r="J59" s="547"/>
    </row>
    <row r="60" spans="1:10">
      <c r="A60"/>
      <c r="C60" s="549"/>
      <c r="D60" s="549"/>
      <c r="E60" s="549"/>
      <c r="F60" s="549"/>
      <c r="G60" s="549"/>
      <c r="H60" s="549"/>
      <c r="I60" s="549"/>
      <c r="J60" s="549"/>
    </row>
    <row r="61" spans="1:10">
      <c r="A61"/>
      <c r="C61" s="549"/>
      <c r="D61" s="549"/>
      <c r="E61" s="549"/>
      <c r="F61" s="549"/>
      <c r="G61" s="549"/>
      <c r="H61" s="549"/>
      <c r="I61" s="549"/>
      <c r="J61" s="549"/>
    </row>
    <row r="62" spans="1:10">
      <c r="A62"/>
      <c r="C62" s="549"/>
      <c r="D62" s="549"/>
      <c r="E62" s="549"/>
      <c r="F62" s="549"/>
      <c r="G62" s="549"/>
      <c r="H62" s="549"/>
      <c r="I62" s="549"/>
      <c r="J62" s="549"/>
    </row>
    <row r="63" spans="1:10">
      <c r="A63"/>
      <c r="C63" s="549"/>
      <c r="D63" s="549"/>
      <c r="E63" s="549"/>
      <c r="F63" s="549"/>
      <c r="G63" s="549"/>
      <c r="H63" s="549"/>
      <c r="I63" s="549"/>
      <c r="J63" s="549"/>
    </row>
    <row r="64" spans="1:10">
      <c r="A64"/>
      <c r="C64" s="549"/>
      <c r="D64" s="549"/>
      <c r="E64" s="549"/>
      <c r="F64" s="549"/>
      <c r="G64" s="549"/>
      <c r="H64" s="549"/>
      <c r="I64" s="549"/>
      <c r="J64" s="549"/>
    </row>
    <row r="65" spans="1:10">
      <c r="A65"/>
      <c r="C65" s="549"/>
      <c r="D65" s="549"/>
      <c r="E65" s="549"/>
      <c r="F65" s="549"/>
      <c r="G65" s="549"/>
      <c r="H65" s="549"/>
      <c r="I65" s="549"/>
      <c r="J65" s="549"/>
    </row>
    <row r="66" spans="1:10">
      <c r="A66"/>
      <c r="C66" s="549"/>
      <c r="D66" s="549"/>
      <c r="E66" s="549"/>
      <c r="F66" s="549"/>
      <c r="G66" s="549"/>
      <c r="H66" s="549"/>
      <c r="I66" s="549"/>
      <c r="J66" s="549"/>
    </row>
    <row r="67" spans="1:10">
      <c r="A67"/>
      <c r="C67" s="549"/>
      <c r="D67" s="549"/>
      <c r="E67" s="549"/>
      <c r="F67" s="549"/>
      <c r="G67" s="549"/>
      <c r="H67" s="549"/>
      <c r="I67" s="549"/>
      <c r="J67" s="549"/>
    </row>
    <row r="68" spans="1:10">
      <c r="A68"/>
      <c r="C68" s="549"/>
      <c r="D68" s="549"/>
      <c r="E68" s="549"/>
      <c r="F68" s="549"/>
      <c r="G68" s="549"/>
      <c r="H68" s="549"/>
      <c r="I68" s="549"/>
      <c r="J68" s="549"/>
    </row>
    <row r="69" spans="1:10">
      <c r="A69"/>
      <c r="C69" s="549"/>
      <c r="D69" s="549"/>
      <c r="E69" s="549"/>
      <c r="F69" s="549"/>
      <c r="G69" s="549"/>
      <c r="H69" s="549"/>
      <c r="I69" s="549"/>
      <c r="J69" s="549"/>
    </row>
    <row r="70" spans="1:10">
      <c r="A70"/>
      <c r="C70" s="549"/>
      <c r="D70" s="549"/>
      <c r="E70" s="549"/>
      <c r="F70" s="549"/>
      <c r="G70" s="549"/>
      <c r="H70" s="549"/>
      <c r="I70" s="549"/>
      <c r="J70" s="549"/>
    </row>
    <row r="71" spans="1:10">
      <c r="A71"/>
      <c r="C71" s="549"/>
      <c r="D71" s="549"/>
      <c r="E71" s="549"/>
      <c r="F71" s="549"/>
      <c r="G71" s="549"/>
      <c r="H71" s="549"/>
      <c r="I71" s="549"/>
      <c r="J71" s="549"/>
    </row>
    <row r="72" spans="1:10">
      <c r="A72"/>
      <c r="C72" s="549"/>
      <c r="D72" s="549"/>
      <c r="E72" s="549"/>
      <c r="F72" s="549"/>
      <c r="G72" s="549"/>
      <c r="H72" s="549"/>
      <c r="I72" s="549"/>
      <c r="J72" s="549"/>
    </row>
    <row r="73" spans="1:10">
      <c r="A73"/>
      <c r="C73" s="549"/>
      <c r="D73" s="549"/>
      <c r="E73" s="549"/>
      <c r="F73" s="549"/>
      <c r="G73" s="549"/>
      <c r="H73" s="549"/>
      <c r="I73" s="549"/>
      <c r="J73" s="549"/>
    </row>
    <row r="74" spans="1:10">
      <c r="A74"/>
      <c r="C74" s="549"/>
      <c r="D74" s="549"/>
      <c r="E74" s="549"/>
      <c r="F74" s="549"/>
      <c r="G74" s="549"/>
      <c r="H74" s="549"/>
      <c r="I74" s="549"/>
      <c r="J74" s="549"/>
    </row>
    <row r="75" spans="1:10">
      <c r="A75"/>
      <c r="C75" s="549"/>
      <c r="D75" s="549"/>
      <c r="E75" s="549"/>
      <c r="F75" s="549"/>
      <c r="G75" s="549"/>
      <c r="H75" s="549"/>
      <c r="I75" s="549"/>
      <c r="J75" s="549"/>
    </row>
    <row r="76" spans="1:10">
      <c r="A76"/>
      <c r="C76" s="549"/>
      <c r="D76" s="549"/>
      <c r="E76" s="549"/>
      <c r="F76" s="549"/>
      <c r="G76" s="549"/>
      <c r="H76" s="549"/>
      <c r="I76" s="549"/>
      <c r="J76" s="549"/>
    </row>
    <row r="77" spans="1:10">
      <c r="A77"/>
      <c r="C77" s="549"/>
      <c r="D77" s="549"/>
      <c r="E77" s="549"/>
      <c r="F77" s="549"/>
      <c r="G77" s="549"/>
      <c r="H77" s="549"/>
      <c r="I77" s="549"/>
      <c r="J77" s="549"/>
    </row>
    <row r="78" spans="1:10" ht="15" thickBot="1">
      <c r="A78"/>
      <c r="C78" s="550"/>
      <c r="D78" s="550"/>
      <c r="E78" s="550"/>
      <c r="F78" s="550"/>
      <c r="G78" s="550"/>
      <c r="H78" s="550"/>
      <c r="I78" s="550"/>
      <c r="J78" s="550"/>
    </row>
    <row r="79" spans="1:10" ht="15" thickTop="1">
      <c r="A79"/>
    </row>
    <row r="80" spans="1:10">
      <c r="A80"/>
    </row>
    <row r="81" spans="1:1">
      <c r="A81"/>
    </row>
    <row r="82" spans="1:1">
      <c r="A82"/>
    </row>
    <row r="83" spans="1:1">
      <c r="A83"/>
    </row>
    <row r="84" spans="1:1">
      <c r="A84"/>
    </row>
    <row r="85" spans="1:1">
      <c r="A85"/>
    </row>
    <row r="86" spans="1:1">
      <c r="A86"/>
    </row>
    <row r="87" spans="1:1">
      <c r="A87"/>
    </row>
    <row r="88" spans="1:1">
      <c r="A88"/>
    </row>
    <row r="89" spans="1:1">
      <c r="A89"/>
    </row>
    <row r="90" spans="1:1">
      <c r="A90"/>
    </row>
    <row r="91" spans="1:1">
      <c r="A91"/>
    </row>
    <row r="92" spans="1:1">
      <c r="A92"/>
    </row>
    <row r="93" spans="1:1">
      <c r="A93"/>
    </row>
    <row r="94" spans="1:1">
      <c r="A94"/>
    </row>
    <row r="95" spans="1:1">
      <c r="A95"/>
    </row>
    <row r="96" spans="1:1">
      <c r="A96"/>
    </row>
    <row r="97" spans="1:1">
      <c r="A97"/>
    </row>
    <row r="98" spans="1:1">
      <c r="A98"/>
    </row>
    <row r="99" spans="1:1">
      <c r="A99"/>
    </row>
    <row r="100" spans="1:1">
      <c r="A100"/>
    </row>
    <row r="101" spans="1:1">
      <c r="A101"/>
    </row>
    <row r="102" spans="1:1">
      <c r="A102"/>
    </row>
    <row r="103" spans="1:1">
      <c r="A103"/>
    </row>
    <row r="104" spans="1:1">
      <c r="A104"/>
    </row>
    <row r="105" spans="1:1">
      <c r="A105"/>
    </row>
    <row r="106" spans="1:1">
      <c r="A106"/>
    </row>
    <row r="107" spans="1:1">
      <c r="A107"/>
    </row>
    <row r="108" spans="1:1">
      <c r="A108"/>
    </row>
    <row r="109" spans="1:1">
      <c r="A109"/>
    </row>
    <row r="110" spans="1:1">
      <c r="A110"/>
    </row>
    <row r="111" spans="1:1">
      <c r="A111"/>
    </row>
    <row r="112" spans="1:1">
      <c r="A112"/>
    </row>
    <row r="113" spans="1:1">
      <c r="A113"/>
    </row>
    <row r="114" spans="1:1">
      <c r="A114"/>
    </row>
    <row r="115" spans="1:1">
      <c r="A115"/>
    </row>
    <row r="116" spans="1:1">
      <c r="A116"/>
    </row>
    <row r="117" spans="1:1">
      <c r="A117"/>
    </row>
    <row r="118" spans="1:1">
      <c r="A118"/>
    </row>
    <row r="119" spans="1:1">
      <c r="A119"/>
    </row>
    <row r="120" spans="1:1">
      <c r="A120"/>
    </row>
    <row r="121" spans="1:1">
      <c r="A121"/>
    </row>
    <row r="122" spans="1:1">
      <c r="A122"/>
    </row>
    <row r="123" spans="1:1">
      <c r="A123"/>
    </row>
    <row r="124" spans="1:1">
      <c r="A124"/>
    </row>
    <row r="125" spans="1:1">
      <c r="A125"/>
    </row>
    <row r="126" spans="1:1">
      <c r="A126"/>
    </row>
    <row r="127" spans="1:1">
      <c r="A127"/>
    </row>
    <row r="128" spans="1:1">
      <c r="A128"/>
    </row>
    <row r="129" spans="1:1">
      <c r="A129"/>
    </row>
    <row r="130" spans="1:1">
      <c r="A130"/>
    </row>
    <row r="131" spans="1:1">
      <c r="A131"/>
    </row>
    <row r="132" spans="1:1">
      <c r="A132"/>
    </row>
    <row r="133" spans="1:1">
      <c r="A133"/>
    </row>
    <row r="134" spans="1:1">
      <c r="A134"/>
    </row>
    <row r="135" spans="1:1">
      <c r="A135"/>
    </row>
    <row r="136" spans="1:1">
      <c r="A136"/>
    </row>
    <row r="137" spans="1:1">
      <c r="A137"/>
    </row>
    <row r="138" spans="1:1">
      <c r="A138"/>
    </row>
    <row r="139" spans="1:1">
      <c r="A139"/>
    </row>
    <row r="140" spans="1:1">
      <c r="A140"/>
    </row>
    <row r="141" spans="1:1">
      <c r="A141"/>
    </row>
    <row r="142" spans="1:1">
      <c r="A142"/>
    </row>
    <row r="143" spans="1:1">
      <c r="A143"/>
    </row>
    <row r="144" spans="1:1">
      <c r="A144"/>
    </row>
    <row r="145" spans="1:1">
      <c r="A145"/>
    </row>
    <row r="146" spans="1:1">
      <c r="A146"/>
    </row>
    <row r="147" spans="1:1">
      <c r="A147"/>
    </row>
    <row r="148" spans="1:1">
      <c r="A148"/>
    </row>
    <row r="149" spans="1:1">
      <c r="A149"/>
    </row>
    <row r="150" spans="1:1">
      <c r="A150"/>
    </row>
    <row r="151" spans="1:1">
      <c r="A151"/>
    </row>
    <row r="152" spans="1:1">
      <c r="A152"/>
    </row>
    <row r="153" spans="1:1">
      <c r="A153"/>
    </row>
    <row r="154" spans="1:1">
      <c r="A154"/>
    </row>
  </sheetData>
  <pageMargins left="0.7" right="0.7" top="0.75" bottom="0.75" header="0.3" footer="0.3"/>
  <pageSetup orientation="portrait" verticalDpi="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rgb="FFFFC000"/>
  </sheetPr>
  <dimension ref="A1:K48"/>
  <sheetViews>
    <sheetView workbookViewId="0">
      <selection activeCell="A16" sqref="A16"/>
    </sheetView>
  </sheetViews>
  <sheetFormatPr defaultRowHeight="14.6"/>
  <cols>
    <col min="3" max="3" width="49.3046875" customWidth="1"/>
    <col min="4" max="9" width="30.69140625" customWidth="1"/>
    <col min="10" max="13" width="20.69140625" customWidth="1"/>
    <col min="14" max="16" width="24.69140625" customWidth="1"/>
  </cols>
  <sheetData>
    <row r="1" spans="1:11" ht="15" thickBot="1"/>
    <row r="2" spans="1:11" ht="76.5" customHeight="1" thickTop="1">
      <c r="C2" s="2321" t="e">
        <f>VLOOKUP($B$7,'E4'!$C$16:$E$20,3,FALSE)</f>
        <v>#N/A</v>
      </c>
      <c r="D2" s="2322"/>
      <c r="H2" s="2271" t="e">
        <f>VLOOKUP($H$7,$C$16:$E$20,3,FALSE)</f>
        <v>#N/A</v>
      </c>
      <c r="I2" s="2272"/>
    </row>
    <row r="3" spans="1:11" ht="16.5" customHeight="1">
      <c r="C3" s="2323"/>
      <c r="D3" s="2324"/>
      <c r="H3" s="2273"/>
      <c r="I3" s="2274"/>
    </row>
    <row r="4" spans="1:11" ht="15" thickBot="1">
      <c r="C4" s="2325"/>
      <c r="D4" s="2326"/>
      <c r="H4" s="2275"/>
      <c r="I4" s="2276"/>
    </row>
    <row r="5" spans="1:11" ht="15.45" thickTop="1" thickBot="1">
      <c r="C5" s="2319" t="s">
        <v>750</v>
      </c>
      <c r="D5" s="2320"/>
      <c r="G5" s="31"/>
      <c r="H5" s="2277" t="str">
        <f>IF(SME_Rating_D3,"Error: Click for Mean Value or Redo SME Rating","")</f>
        <v/>
      </c>
      <c r="I5" s="2278"/>
    </row>
    <row r="6" spans="1:11" ht="15.45" thickTop="1" thickBot="1">
      <c r="C6" s="73" t="s">
        <v>753</v>
      </c>
      <c r="D6" s="73" t="s">
        <v>751</v>
      </c>
      <c r="H6" s="44" t="s">
        <v>748</v>
      </c>
      <c r="I6" s="51" t="s">
        <v>135</v>
      </c>
    </row>
    <row r="7" spans="1:11" ht="15.45" thickTop="1" thickBot="1">
      <c r="C7" s="500" t="s">
        <v>408</v>
      </c>
      <c r="D7" s="100">
        <f>HLOOKUP($C$7,D42:I44,2,FALSE)</f>
        <v>0</v>
      </c>
      <c r="H7" s="36" t="s">
        <v>132</v>
      </c>
      <c r="I7" s="53" t="e">
        <f>+MeanValue_D3</f>
        <v>#REF!</v>
      </c>
    </row>
    <row r="8" spans="1:11" ht="15" thickTop="1">
      <c r="K8" s="45"/>
    </row>
    <row r="11" spans="1:11" ht="15" customHeight="1">
      <c r="A11" s="23"/>
      <c r="B11" s="38"/>
      <c r="C11" s="497" t="s">
        <v>2001</v>
      </c>
      <c r="D11" s="497"/>
      <c r="E11" s="498"/>
      <c r="F11" s="498"/>
      <c r="G11" s="498"/>
      <c r="H11" s="498"/>
      <c r="I11" s="498"/>
      <c r="J11" s="498"/>
    </row>
    <row r="12" spans="1:11" ht="15" customHeight="1">
      <c r="A12" s="23"/>
      <c r="B12" s="38"/>
      <c r="C12" s="497" t="s">
        <v>2002</v>
      </c>
      <c r="D12" s="497"/>
      <c r="E12" s="498"/>
      <c r="F12" s="498"/>
      <c r="G12" s="498"/>
      <c r="H12" s="498"/>
      <c r="I12" s="498"/>
      <c r="J12" s="498"/>
    </row>
    <row r="14" spans="1:11" ht="18.899999999999999" thickBot="1">
      <c r="C14" s="128" t="s">
        <v>749</v>
      </c>
    </row>
    <row r="15" spans="1:11" ht="15.75" customHeight="1" thickTop="1">
      <c r="C15" s="491" t="s">
        <v>747</v>
      </c>
      <c r="D15" s="1768" t="s">
        <v>2003</v>
      </c>
      <c r="E15" s="494" t="s">
        <v>102</v>
      </c>
      <c r="F15" s="495"/>
      <c r="G15" s="495"/>
      <c r="H15" s="495"/>
      <c r="I15" s="495"/>
      <c r="J15" s="496"/>
      <c r="K15" s="75"/>
    </row>
    <row r="16" spans="1:11" ht="32.15" customHeight="1">
      <c r="A16" s="23"/>
      <c r="B16" s="38"/>
      <c r="C16" s="502" t="s">
        <v>2005</v>
      </c>
      <c r="D16" s="509">
        <v>96</v>
      </c>
      <c r="E16" s="2327" t="s">
        <v>2094</v>
      </c>
      <c r="F16" s="2328"/>
      <c r="G16" s="2328"/>
      <c r="H16" s="2328"/>
      <c r="I16" s="2328"/>
      <c r="J16" s="2329"/>
      <c r="K16" s="75"/>
    </row>
    <row r="17" spans="1:11" ht="32.15" customHeight="1">
      <c r="A17" s="23"/>
      <c r="B17" s="38"/>
      <c r="C17" s="493" t="s">
        <v>2004</v>
      </c>
      <c r="D17" s="508">
        <v>88</v>
      </c>
      <c r="E17" s="2265" t="s">
        <v>2095</v>
      </c>
      <c r="F17" s="2266"/>
      <c r="G17" s="2266"/>
      <c r="H17" s="2266"/>
      <c r="I17" s="2266"/>
      <c r="J17" s="2267"/>
      <c r="K17" s="75"/>
    </row>
    <row r="18" spans="1:11" ht="32.15" customHeight="1">
      <c r="A18" s="23"/>
      <c r="B18" s="38"/>
      <c r="C18" s="493" t="s">
        <v>2006</v>
      </c>
      <c r="D18" s="508">
        <v>51</v>
      </c>
      <c r="E18" s="2265" t="s">
        <v>2096</v>
      </c>
      <c r="F18" s="2266"/>
      <c r="G18" s="2266"/>
      <c r="H18" s="2266"/>
      <c r="I18" s="2266"/>
      <c r="J18" s="2267"/>
      <c r="K18" s="75"/>
    </row>
    <row r="19" spans="1:11" ht="32.15" customHeight="1">
      <c r="A19" s="23"/>
      <c r="B19" s="38"/>
      <c r="C19" s="492" t="s">
        <v>2007</v>
      </c>
      <c r="D19" s="511">
        <v>13</v>
      </c>
      <c r="E19" s="2241" t="s">
        <v>2093</v>
      </c>
      <c r="F19" s="2242"/>
      <c r="G19" s="2242"/>
      <c r="H19" s="2242"/>
      <c r="I19" s="2242"/>
      <c r="J19" s="2243"/>
      <c r="K19" s="75"/>
    </row>
    <row r="20" spans="1:11" ht="32.15" customHeight="1">
      <c r="A20" s="23"/>
      <c r="B20" s="38"/>
      <c r="C20" s="493" t="s">
        <v>2008</v>
      </c>
      <c r="D20" s="508">
        <v>3</v>
      </c>
      <c r="E20" s="2265" t="s">
        <v>2097</v>
      </c>
      <c r="F20" s="2266"/>
      <c r="G20" s="2266"/>
      <c r="H20" s="2266"/>
      <c r="I20" s="2266"/>
      <c r="J20" s="2267"/>
      <c r="K20" s="75"/>
    </row>
    <row r="21" spans="1:11" ht="110.15" customHeight="1" thickBot="1">
      <c r="A21" s="23"/>
      <c r="B21" s="38"/>
      <c r="C21" s="499" t="s">
        <v>2092</v>
      </c>
      <c r="D21" s="510" t="s">
        <v>408</v>
      </c>
      <c r="E21" s="2316" t="s">
        <v>2129</v>
      </c>
      <c r="F21" s="2317"/>
      <c r="G21" s="2317"/>
      <c r="H21" s="2317"/>
      <c r="I21" s="2317"/>
      <c r="J21" s="2318"/>
      <c r="K21" s="75"/>
    </row>
    <row r="22" spans="1:11" ht="15" customHeight="1" thickTop="1">
      <c r="A22" s="23">
        <v>1</v>
      </c>
      <c r="B22" s="38"/>
    </row>
    <row r="23" spans="1:11" ht="15" customHeight="1">
      <c r="A23" s="23">
        <f>1+A22</f>
        <v>2</v>
      </c>
      <c r="B23" s="38"/>
    </row>
    <row r="24" spans="1:11" ht="15" customHeight="1">
      <c r="A24" s="23">
        <f t="shared" ref="A24:A41" si="0">1+A23</f>
        <v>3</v>
      </c>
      <c r="B24" s="38"/>
      <c r="C24" s="497"/>
      <c r="D24" s="497"/>
      <c r="E24" s="498"/>
      <c r="F24" s="498"/>
      <c r="G24" s="498"/>
      <c r="H24" s="498"/>
      <c r="I24" s="498"/>
      <c r="J24" s="498"/>
    </row>
    <row r="25" spans="1:11" ht="15" customHeight="1">
      <c r="A25" s="23">
        <f t="shared" si="0"/>
        <v>4</v>
      </c>
      <c r="B25" s="38"/>
      <c r="C25" s="497"/>
      <c r="D25" s="497"/>
      <c r="E25" s="498"/>
      <c r="F25" s="498"/>
      <c r="G25" s="498"/>
      <c r="H25" s="498"/>
      <c r="I25" s="498"/>
      <c r="J25" s="498"/>
    </row>
    <row r="26" spans="1:11">
      <c r="A26" s="23">
        <f t="shared" si="0"/>
        <v>5</v>
      </c>
    </row>
    <row r="27" spans="1:11">
      <c r="A27" s="23">
        <f t="shared" si="0"/>
        <v>6</v>
      </c>
    </row>
    <row r="28" spans="1:11" ht="15" customHeight="1">
      <c r="A28" s="23">
        <f t="shared" si="0"/>
        <v>7</v>
      </c>
      <c r="B28" s="38"/>
      <c r="C28" s="497"/>
      <c r="D28" s="497"/>
      <c r="E28" s="498"/>
      <c r="F28" s="498"/>
      <c r="G28" s="498"/>
      <c r="H28" s="498"/>
      <c r="I28" s="498"/>
      <c r="J28" s="498"/>
    </row>
    <row r="29" spans="1:11" ht="15" customHeight="1">
      <c r="A29" s="23">
        <f t="shared" si="0"/>
        <v>8</v>
      </c>
      <c r="B29" s="38"/>
      <c r="C29" s="497"/>
      <c r="D29" s="497"/>
      <c r="E29" s="498"/>
      <c r="F29" s="498"/>
      <c r="G29" s="498"/>
      <c r="H29" s="498"/>
      <c r="I29" s="498"/>
      <c r="J29" s="498"/>
    </row>
    <row r="30" spans="1:11" ht="15" customHeight="1">
      <c r="A30" s="23">
        <f t="shared" si="0"/>
        <v>9</v>
      </c>
      <c r="B30" s="38"/>
    </row>
    <row r="31" spans="1:11" ht="15" customHeight="1">
      <c r="A31" s="23">
        <f t="shared" si="0"/>
        <v>10</v>
      </c>
      <c r="B31" s="38"/>
    </row>
    <row r="32" spans="1:11" ht="15" customHeight="1">
      <c r="A32" s="23">
        <f t="shared" si="0"/>
        <v>11</v>
      </c>
      <c r="B32" s="38"/>
    </row>
    <row r="33" spans="1:10" ht="15" customHeight="1">
      <c r="A33" s="23">
        <f t="shared" si="0"/>
        <v>12</v>
      </c>
      <c r="B33" s="38"/>
    </row>
    <row r="34" spans="1:10" ht="15" customHeight="1">
      <c r="A34" s="23">
        <f t="shared" si="0"/>
        <v>13</v>
      </c>
      <c r="B34" s="38"/>
      <c r="C34" s="497"/>
      <c r="D34" s="497"/>
      <c r="E34" s="498"/>
      <c r="F34" s="498"/>
      <c r="G34" s="498"/>
      <c r="H34" s="498"/>
      <c r="I34" s="498"/>
      <c r="J34" s="498"/>
    </row>
    <row r="35" spans="1:10" ht="15" customHeight="1">
      <c r="A35" s="23">
        <f t="shared" si="0"/>
        <v>14</v>
      </c>
      <c r="B35" s="38"/>
      <c r="C35" s="497"/>
      <c r="D35" s="497"/>
      <c r="E35" s="498"/>
      <c r="F35" s="498"/>
      <c r="G35" s="498"/>
      <c r="H35" s="498"/>
      <c r="I35" s="498"/>
      <c r="J35" s="498"/>
    </row>
    <row r="36" spans="1:10" ht="15" customHeight="1">
      <c r="A36" s="23">
        <f t="shared" si="0"/>
        <v>15</v>
      </c>
      <c r="B36" s="38"/>
      <c r="C36" s="23"/>
      <c r="D36" s="497"/>
      <c r="E36" s="498"/>
      <c r="F36" s="498"/>
      <c r="G36" s="498"/>
      <c r="H36" s="498"/>
      <c r="I36" s="498"/>
      <c r="J36" s="498"/>
    </row>
    <row r="37" spans="1:10" ht="15" customHeight="1">
      <c r="A37" s="23">
        <f t="shared" si="0"/>
        <v>16</v>
      </c>
      <c r="B37" s="38"/>
      <c r="C37" s="497"/>
      <c r="D37" s="497"/>
      <c r="E37" s="498"/>
      <c r="F37" s="498"/>
      <c r="G37" s="498"/>
      <c r="H37" s="498"/>
      <c r="I37" s="498"/>
      <c r="J37" s="498"/>
    </row>
    <row r="38" spans="1:10" ht="15" customHeight="1">
      <c r="A38" s="23">
        <f t="shared" si="0"/>
        <v>17</v>
      </c>
      <c r="B38" s="38"/>
      <c r="C38" s="497"/>
      <c r="D38" s="497"/>
      <c r="E38" s="498"/>
      <c r="F38" s="498"/>
      <c r="G38" s="498"/>
      <c r="H38" s="498"/>
      <c r="I38" s="498"/>
      <c r="J38" s="498"/>
    </row>
    <row r="39" spans="1:10" ht="15" customHeight="1">
      <c r="A39" s="23">
        <f t="shared" si="0"/>
        <v>18</v>
      </c>
      <c r="B39" s="38"/>
      <c r="C39" s="497"/>
      <c r="D39" s="497"/>
      <c r="E39" s="498"/>
      <c r="F39" s="498"/>
      <c r="G39" s="498"/>
      <c r="H39" s="498"/>
      <c r="I39" s="498"/>
      <c r="J39" s="498"/>
    </row>
    <row r="40" spans="1:10" ht="15" customHeight="1">
      <c r="A40" s="23">
        <f t="shared" si="0"/>
        <v>19</v>
      </c>
      <c r="B40" s="38"/>
      <c r="C40" s="497"/>
      <c r="D40" s="497"/>
      <c r="E40" s="498"/>
      <c r="F40" s="498"/>
      <c r="G40" s="498"/>
      <c r="H40" s="498"/>
      <c r="I40" s="498"/>
      <c r="J40" s="498"/>
    </row>
    <row r="41" spans="1:10" ht="15" customHeight="1" thickBot="1">
      <c r="A41" s="23">
        <f t="shared" si="0"/>
        <v>20</v>
      </c>
      <c r="B41" s="38"/>
      <c r="C41" s="497"/>
      <c r="D41" s="497"/>
      <c r="E41" s="498"/>
      <c r="F41" s="498"/>
      <c r="G41" s="498"/>
      <c r="H41" s="498"/>
      <c r="I41" s="498"/>
      <c r="J41" s="498"/>
    </row>
    <row r="42" spans="1:10" ht="15" customHeight="1" thickTop="1" thickBot="1">
      <c r="A42" s="23"/>
      <c r="B42" s="38"/>
      <c r="C42" s="491" t="s">
        <v>747</v>
      </c>
      <c r="D42" s="506" t="s">
        <v>345</v>
      </c>
      <c r="E42" s="505" t="s">
        <v>359</v>
      </c>
      <c r="F42" s="506" t="s">
        <v>371</v>
      </c>
      <c r="G42" s="505" t="s">
        <v>383</v>
      </c>
      <c r="H42" s="506" t="s">
        <v>396</v>
      </c>
      <c r="I42" s="505" t="s">
        <v>408</v>
      </c>
      <c r="J42" s="498"/>
    </row>
    <row r="43" spans="1:10" ht="15" customHeight="1" thickTop="1" thickBot="1">
      <c r="A43" s="23"/>
      <c r="B43" s="38"/>
      <c r="C43" s="491" t="s">
        <v>751</v>
      </c>
      <c r="D43" s="503" t="s">
        <v>752</v>
      </c>
      <c r="E43" s="503" t="s">
        <v>752</v>
      </c>
      <c r="F43" s="503" t="s">
        <v>752</v>
      </c>
      <c r="G43" s="503" t="s">
        <v>752</v>
      </c>
      <c r="H43" s="503" t="s">
        <v>752</v>
      </c>
      <c r="I43" s="504">
        <v>0</v>
      </c>
      <c r="J43" s="498"/>
    </row>
    <row r="44" spans="1:10" ht="292.5" customHeight="1" thickTop="1" thickBot="1">
      <c r="A44" s="23"/>
      <c r="B44" s="38"/>
      <c r="C44" s="494" t="s">
        <v>102</v>
      </c>
      <c r="D44" s="507" t="s">
        <v>346</v>
      </c>
      <c r="E44" s="121" t="s">
        <v>360</v>
      </c>
      <c r="F44" s="121" t="s">
        <v>372</v>
      </c>
      <c r="G44" s="121" t="s">
        <v>384</v>
      </c>
      <c r="H44" s="121" t="s">
        <v>397</v>
      </c>
      <c r="I44" s="121" t="s">
        <v>409</v>
      </c>
      <c r="J44" s="498"/>
    </row>
    <row r="45" spans="1:10" ht="15" customHeight="1" thickTop="1">
      <c r="A45" s="23"/>
      <c r="B45" s="38"/>
      <c r="C45" s="497"/>
      <c r="D45" s="497"/>
      <c r="E45" s="498"/>
      <c r="F45" s="498"/>
      <c r="G45" s="498"/>
      <c r="H45" s="498"/>
      <c r="I45" s="498"/>
      <c r="J45" s="498"/>
    </row>
    <row r="46" spans="1:10" ht="15" customHeight="1">
      <c r="A46" s="23"/>
      <c r="B46" s="38"/>
      <c r="C46" s="497"/>
      <c r="D46" s="497"/>
      <c r="E46" s="498"/>
      <c r="F46" s="498"/>
      <c r="G46" s="498"/>
      <c r="H46" s="498"/>
      <c r="I46" s="498"/>
      <c r="J46" s="498"/>
    </row>
    <row r="47" spans="1:10" ht="15" customHeight="1">
      <c r="A47" s="23"/>
      <c r="B47" s="38"/>
      <c r="C47" s="497"/>
      <c r="D47" s="497"/>
      <c r="E47" s="498"/>
      <c r="F47" s="498"/>
      <c r="G47" s="498"/>
      <c r="H47" s="498"/>
      <c r="I47" s="498"/>
      <c r="J47" s="498"/>
    </row>
    <row r="48" spans="1:10" ht="15" customHeight="1">
      <c r="A48" s="23"/>
      <c r="B48" s="38"/>
      <c r="C48" s="497"/>
      <c r="D48" s="497"/>
      <c r="E48" s="498"/>
      <c r="F48" s="498"/>
      <c r="G48" s="498"/>
      <c r="H48" s="498"/>
      <c r="I48" s="498"/>
      <c r="J48" s="498"/>
    </row>
  </sheetData>
  <mergeCells count="10">
    <mergeCell ref="C5:D5"/>
    <mergeCell ref="H2:I4"/>
    <mergeCell ref="H5:I5"/>
    <mergeCell ref="C2:D4"/>
    <mergeCell ref="E16:J16"/>
    <mergeCell ref="E18:J18"/>
    <mergeCell ref="E17:J17"/>
    <mergeCell ref="E20:J20"/>
    <mergeCell ref="E21:J21"/>
    <mergeCell ref="E19:J19"/>
  </mergeCells>
  <conditionalFormatting sqref="H7">
    <cfRule type="containsText" dxfId="133" priority="11" operator="containsText" text="(Very Low)">
      <formula>NOT(ISERROR(SEARCH("(Very Low)",H7)))</formula>
    </cfRule>
    <cfRule type="containsText" dxfId="132" priority="12" operator="containsText" text="(Low)">
      <formula>NOT(ISERROR(SEARCH("(Low)",H7)))</formula>
    </cfRule>
    <cfRule type="containsText" dxfId="131" priority="13" operator="containsText" text="Moderate">
      <formula>NOT(ISERROR(SEARCH("Moderate",H7)))</formula>
    </cfRule>
    <cfRule type="containsText" dxfId="130" priority="14" operator="containsText" text="(High)">
      <formula>NOT(ISERROR(SEARCH("(High)",H7)))</formula>
    </cfRule>
    <cfRule type="containsText" dxfId="129" priority="15" operator="containsText" text="(Very High)">
      <formula>NOT(ISERROR(SEARCH("(Very High)",H7)))</formula>
    </cfRule>
  </conditionalFormatting>
  <conditionalFormatting sqref="I6">
    <cfRule type="expression" dxfId="128" priority="10">
      <formula>SME_Rating_D3</formula>
    </cfRule>
  </conditionalFormatting>
  <conditionalFormatting sqref="H5:I5">
    <cfRule type="expression" dxfId="127" priority="9">
      <formula>SME_Rating_D3</formula>
    </cfRule>
  </conditionalFormatting>
  <conditionalFormatting sqref="C7">
    <cfRule type="containsText" dxfId="126" priority="3" operator="containsText" text="(Very Low)">
      <formula>NOT(ISERROR(SEARCH("(Very Low)",C7)))</formula>
    </cfRule>
    <cfRule type="containsText" dxfId="125" priority="4" operator="containsText" text="(Low)">
      <formula>NOT(ISERROR(SEARCH("(Low)",C7)))</formula>
    </cfRule>
    <cfRule type="containsText" dxfId="124" priority="5" operator="containsText" text="Moderate">
      <formula>NOT(ISERROR(SEARCH("Moderate",C7)))</formula>
    </cfRule>
    <cfRule type="containsText" dxfId="123" priority="6" operator="containsText" text="(High)">
      <formula>NOT(ISERROR(SEARCH("(High)",C7)))</formula>
    </cfRule>
    <cfRule type="containsText" dxfId="122" priority="7" operator="containsText" text="(Very High)">
      <formula>NOT(ISERROR(SEARCH("(Very High)",C7)))</formula>
    </cfRule>
  </conditionalFormatting>
  <conditionalFormatting sqref="I7">
    <cfRule type="expression" dxfId="121" priority="647">
      <formula>OR(AND(IF($H$7=#REF!,1,0),OR(IF($I$7&lt;#REF!,1,0),IF($I$7&gt;=#REF!,1,0))),  AND(IF($H$7=#REF!,1,0),OR(IF($I$7&lt;#REF!,1,0),IF($I$7&gt;=#REF!,1,0))),  AND(IF($H$7=#REF!,1,0),OR(IF($I$7&lt;#REF!,1,0),IF($I$7&gt;=#REF!,1,0))),  AND(IF($H$7=#REF!,1,0),OR(IF($I$7&lt;#REF!,1,0),IF($I$7&gt;=#REF!,1,0))),  AND(IF($H$7=#REF!,1,0),OR(IF($I$7&lt;#REF!,1,0),IF($I$7&gt;#REF!&gt;G8,1,0))))</formula>
    </cfRule>
  </conditionalFormatting>
  <dataValidations count="3">
    <dataValidation type="list" allowBlank="1" showInputMessage="1" sqref="I7" xr:uid="{00000000-0002-0000-1300-000000000000}">
      <formula1>"+MeanValue_D3"</formula1>
    </dataValidation>
    <dataValidation type="list" allowBlank="1" showErrorMessage="1" sqref="H7" xr:uid="{00000000-0002-0000-1300-000001000000}">
      <formula1>#REF!</formula1>
    </dataValidation>
    <dataValidation type="list" allowBlank="1" showErrorMessage="1" sqref="C7" xr:uid="{00000000-0002-0000-1300-000002000000}">
      <formula1>$D$42:$I$42</formula1>
    </dataValidation>
  </dataValidations>
  <pageMargins left="0.7" right="0.7" top="0.75" bottom="0.75" header="0.3" footer="0.3"/>
  <pageSetup orientation="portrait" verticalDpi="0" r:id="rId1"/>
  <drawing r:id="rId2"/>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rgb="FFFFC000"/>
  </sheetPr>
  <dimension ref="A1:AM30"/>
  <sheetViews>
    <sheetView workbookViewId="0">
      <selection activeCell="F23" sqref="F23"/>
    </sheetView>
  </sheetViews>
  <sheetFormatPr defaultRowHeight="14.6"/>
  <cols>
    <col min="1" max="2" width="6.69140625" customWidth="1"/>
    <col min="3" max="3" width="29.69140625" customWidth="1"/>
    <col min="4" max="4" width="24.69140625" customWidth="1"/>
    <col min="5" max="5" width="15.3046875" customWidth="1"/>
    <col min="6" max="6" width="16.69140625" customWidth="1"/>
    <col min="7" max="7" width="14.69140625" customWidth="1"/>
    <col min="10" max="12" width="20.69140625" customWidth="1"/>
    <col min="14" max="14" width="20.69140625" customWidth="1"/>
    <col min="15" max="15" width="16.84375" customWidth="1"/>
  </cols>
  <sheetData>
    <row r="1" spans="3:39" ht="15" thickBot="1">
      <c r="C1" s="23"/>
      <c r="D1" s="23"/>
    </row>
    <row r="2" spans="3:39" ht="34" customHeight="1" thickTop="1">
      <c r="C2" s="2271" t="str">
        <f>VLOOKUP($C$7,'F2'!C17:G22,5,FALSE)</f>
        <v>Description: 
The vulnerability is of moderate concern, based on the exposure of the vulnerability and ease of exploitation and/or on the severity of impacts that could result from its exploitation. Relevant security control or other remediation is partially implemented and somewhat effective.</v>
      </c>
      <c r="D2" s="2272"/>
    </row>
    <row r="3" spans="3:39" ht="34" customHeight="1">
      <c r="C3" s="2273"/>
      <c r="D3" s="2274"/>
    </row>
    <row r="4" spans="3:39" ht="34" customHeight="1" thickBot="1">
      <c r="C4" s="2304"/>
      <c r="D4" s="2305"/>
    </row>
    <row r="5" spans="3:39" ht="15.45" thickTop="1" thickBot="1">
      <c r="C5" s="2339" t="str">
        <f>IF(SmeRatingF2,"F2_Error: Click for Mean Value or Redo SME Rating","")</f>
        <v/>
      </c>
      <c r="D5" s="2340"/>
    </row>
    <row r="6" spans="3:39" ht="15.45" thickTop="1" thickBot="1">
      <c r="C6" s="125" t="s">
        <v>893</v>
      </c>
      <c r="D6" s="122" t="s">
        <v>894</v>
      </c>
    </row>
    <row r="7" spans="3:39" ht="15.45" thickTop="1" thickBot="1">
      <c r="C7" s="126" t="s">
        <v>129</v>
      </c>
      <c r="D7" s="457">
        <v>51</v>
      </c>
    </row>
    <row r="8" spans="3:39" ht="15" thickTop="1"/>
    <row r="9" spans="3:39">
      <c r="D9" s="123"/>
    </row>
    <row r="12" spans="3:39">
      <c r="F12" s="1787"/>
    </row>
    <row r="15" spans="3:39" ht="15" thickBot="1"/>
    <row r="16" spans="3:39" ht="15.45" thickTop="1" thickBot="1">
      <c r="C16" s="61" t="s">
        <v>48</v>
      </c>
      <c r="D16" s="62" t="s">
        <v>103</v>
      </c>
      <c r="E16" s="62" t="s">
        <v>104</v>
      </c>
      <c r="F16" s="62" t="s">
        <v>117</v>
      </c>
      <c r="G16" s="55" t="s">
        <v>102</v>
      </c>
      <c r="H16" s="64"/>
      <c r="I16" s="64"/>
      <c r="J16" s="64"/>
      <c r="K16" s="64"/>
      <c r="L16" s="64"/>
      <c r="M16" s="64"/>
      <c r="N16" s="64"/>
      <c r="O16" s="64"/>
      <c r="P16" s="64"/>
      <c r="Q16" s="64"/>
      <c r="R16" s="64"/>
      <c r="S16" s="64"/>
      <c r="T16" s="64"/>
      <c r="U16" s="64"/>
      <c r="V16" s="64"/>
      <c r="W16" s="64"/>
      <c r="X16" s="64"/>
      <c r="Y16" s="64"/>
      <c r="Z16" s="64"/>
      <c r="AA16" s="64"/>
      <c r="AB16" s="64"/>
      <c r="AC16" s="64"/>
      <c r="AD16" s="64"/>
      <c r="AE16" s="64"/>
      <c r="AF16" s="64"/>
      <c r="AG16" s="64"/>
      <c r="AH16" s="64"/>
      <c r="AI16" s="64"/>
      <c r="AJ16" s="64"/>
      <c r="AK16" s="64"/>
      <c r="AL16" s="64"/>
      <c r="AM16" s="22"/>
    </row>
    <row r="17" spans="1:39" ht="32.15" customHeight="1" thickTop="1" thickBot="1">
      <c r="A17" s="23"/>
      <c r="B17" s="38"/>
      <c r="C17" s="39" t="s">
        <v>181</v>
      </c>
      <c r="D17" s="21">
        <v>-3</v>
      </c>
      <c r="E17" s="21">
        <v>-1</v>
      </c>
      <c r="F17" s="21" t="s">
        <v>408</v>
      </c>
      <c r="G17" s="2292" t="s">
        <v>2087</v>
      </c>
      <c r="H17" s="2301"/>
      <c r="I17" s="2301"/>
      <c r="J17" s="2301"/>
      <c r="K17" s="2301"/>
      <c r="L17" s="2301"/>
      <c r="M17" s="2301"/>
      <c r="N17" s="2301"/>
      <c r="O17" s="2301"/>
      <c r="P17" s="2301"/>
      <c r="Q17" s="2301"/>
      <c r="R17" s="2301"/>
      <c r="S17" s="2301"/>
      <c r="T17" s="2301"/>
      <c r="U17" s="2301"/>
      <c r="V17" s="2301"/>
      <c r="W17" s="2301"/>
      <c r="X17" s="2301"/>
      <c r="Y17" s="2301"/>
      <c r="Z17" s="2301"/>
      <c r="AA17" s="2301"/>
      <c r="AB17" s="2301"/>
      <c r="AC17" s="2301"/>
      <c r="AD17" s="2301"/>
      <c r="AE17" s="2301"/>
      <c r="AF17" s="2301"/>
      <c r="AG17" s="2301"/>
      <c r="AH17" s="2301"/>
      <c r="AI17" s="2301"/>
      <c r="AJ17" s="2301"/>
      <c r="AK17" s="2301"/>
      <c r="AL17" s="2301"/>
      <c r="AM17" s="2302"/>
    </row>
    <row r="18" spans="1:39" ht="32.15" customHeight="1" thickTop="1">
      <c r="A18" s="23"/>
      <c r="B18" s="38"/>
      <c r="C18" s="41" t="s">
        <v>131</v>
      </c>
      <c r="D18" s="583">
        <v>0</v>
      </c>
      <c r="E18" s="583">
        <v>5</v>
      </c>
      <c r="F18" s="583">
        <v>3</v>
      </c>
      <c r="G18" s="2341" t="s">
        <v>927</v>
      </c>
      <c r="H18" s="2342"/>
      <c r="I18" s="2342"/>
      <c r="J18" s="2342"/>
      <c r="K18" s="2342"/>
      <c r="L18" s="2342"/>
      <c r="M18" s="2342"/>
      <c r="N18" s="2342"/>
      <c r="O18" s="2342"/>
      <c r="P18" s="2342"/>
      <c r="Q18" s="2342"/>
      <c r="R18" s="2342"/>
      <c r="S18" s="2342"/>
      <c r="T18" s="2342"/>
      <c r="U18" s="2342"/>
      <c r="V18" s="2342"/>
      <c r="W18" s="2342"/>
      <c r="X18" s="2342"/>
      <c r="Y18" s="2342"/>
      <c r="Z18" s="2342"/>
      <c r="AA18" s="2342"/>
      <c r="AB18" s="2342"/>
      <c r="AC18" s="2342"/>
      <c r="AD18" s="2342"/>
      <c r="AE18" s="2342"/>
      <c r="AF18" s="2342"/>
      <c r="AG18" s="2342"/>
      <c r="AH18" s="2342"/>
      <c r="AI18" s="2342"/>
      <c r="AJ18" s="2342"/>
      <c r="AK18" s="2342"/>
      <c r="AL18" s="2342"/>
      <c r="AM18" s="2343"/>
    </row>
    <row r="19" spans="1:39" ht="32.15" customHeight="1">
      <c r="A19" s="23"/>
      <c r="B19" s="38"/>
      <c r="C19" s="40" t="s">
        <v>130</v>
      </c>
      <c r="D19" s="20">
        <v>5</v>
      </c>
      <c r="E19" s="20">
        <v>21</v>
      </c>
      <c r="F19" s="20">
        <v>13</v>
      </c>
      <c r="G19" s="2265" t="s">
        <v>2088</v>
      </c>
      <c r="H19" s="2332"/>
      <c r="I19" s="2332"/>
      <c r="J19" s="2332"/>
      <c r="K19" s="2332"/>
      <c r="L19" s="2332"/>
      <c r="M19" s="2332"/>
      <c r="N19" s="2332"/>
      <c r="O19" s="2332"/>
      <c r="P19" s="2332"/>
      <c r="Q19" s="2332"/>
      <c r="R19" s="2332"/>
      <c r="S19" s="2332"/>
      <c r="T19" s="2332"/>
      <c r="U19" s="2332"/>
      <c r="V19" s="2332"/>
      <c r="W19" s="2332"/>
      <c r="X19" s="2332"/>
      <c r="Y19" s="2332"/>
      <c r="Z19" s="2332"/>
      <c r="AA19" s="2332"/>
      <c r="AB19" s="2332"/>
      <c r="AC19" s="2332"/>
      <c r="AD19" s="2332"/>
      <c r="AE19" s="2332"/>
      <c r="AF19" s="2332"/>
      <c r="AG19" s="2332"/>
      <c r="AH19" s="2332"/>
      <c r="AI19" s="2332"/>
      <c r="AJ19" s="2332"/>
      <c r="AK19" s="2332"/>
      <c r="AL19" s="2332"/>
      <c r="AM19" s="2333"/>
    </row>
    <row r="20" spans="1:39" ht="32.15" customHeight="1">
      <c r="A20" s="23"/>
      <c r="B20" s="38"/>
      <c r="C20" s="41" t="s">
        <v>129</v>
      </c>
      <c r="D20" s="583">
        <v>21</v>
      </c>
      <c r="E20" s="583">
        <v>80</v>
      </c>
      <c r="F20" s="583">
        <v>51</v>
      </c>
      <c r="G20" s="2241" t="s">
        <v>2089</v>
      </c>
      <c r="H20" s="2330"/>
      <c r="I20" s="2330"/>
      <c r="J20" s="2330"/>
      <c r="K20" s="2330"/>
      <c r="L20" s="2330"/>
      <c r="M20" s="2330"/>
      <c r="N20" s="2330"/>
      <c r="O20" s="2330"/>
      <c r="P20" s="2330"/>
      <c r="Q20" s="2330"/>
      <c r="R20" s="2330"/>
      <c r="S20" s="2330"/>
      <c r="T20" s="2330"/>
      <c r="U20" s="2330"/>
      <c r="V20" s="2330"/>
      <c r="W20" s="2330"/>
      <c r="X20" s="2330"/>
      <c r="Y20" s="2330"/>
      <c r="Z20" s="2330"/>
      <c r="AA20" s="2330"/>
      <c r="AB20" s="2330"/>
      <c r="AC20" s="2330"/>
      <c r="AD20" s="2330"/>
      <c r="AE20" s="2330"/>
      <c r="AF20" s="2330"/>
      <c r="AG20" s="2330"/>
      <c r="AH20" s="2330"/>
      <c r="AI20" s="2330"/>
      <c r="AJ20" s="2330"/>
      <c r="AK20" s="2330"/>
      <c r="AL20" s="2330"/>
      <c r="AM20" s="2331"/>
    </row>
    <row r="21" spans="1:39" ht="32.15" customHeight="1" thickBot="1">
      <c r="A21" s="23"/>
      <c r="B21" s="38"/>
      <c r="C21" s="40" t="s">
        <v>128</v>
      </c>
      <c r="D21" s="20">
        <v>80</v>
      </c>
      <c r="E21" s="20">
        <v>96</v>
      </c>
      <c r="F21" s="20">
        <v>88</v>
      </c>
      <c r="G21" s="2265" t="s">
        <v>2090</v>
      </c>
      <c r="H21" s="2332"/>
      <c r="I21" s="2332"/>
      <c r="J21" s="2332"/>
      <c r="K21" s="2332"/>
      <c r="L21" s="2332"/>
      <c r="M21" s="2332"/>
      <c r="N21" s="2332"/>
      <c r="O21" s="2332"/>
      <c r="P21" s="2332"/>
      <c r="Q21" s="2332"/>
      <c r="R21" s="2332"/>
      <c r="S21" s="2332"/>
      <c r="T21" s="2332"/>
      <c r="U21" s="2332"/>
      <c r="V21" s="2332"/>
      <c r="W21" s="2332"/>
      <c r="X21" s="2332"/>
      <c r="Y21" s="2332"/>
      <c r="Z21" s="2332"/>
      <c r="AA21" s="2332"/>
      <c r="AB21" s="2332"/>
      <c r="AC21" s="2332"/>
      <c r="AD21" s="2332"/>
      <c r="AE21" s="2332"/>
      <c r="AF21" s="2332"/>
      <c r="AG21" s="2332"/>
      <c r="AH21" s="2332"/>
      <c r="AI21" s="2332"/>
      <c r="AJ21" s="2332"/>
      <c r="AK21" s="2332"/>
      <c r="AL21" s="2332"/>
      <c r="AM21" s="2333"/>
    </row>
    <row r="22" spans="1:39" ht="32.15" customHeight="1" thickTop="1" thickBot="1">
      <c r="A22" s="23"/>
      <c r="B22" s="38"/>
      <c r="C22" s="582" t="s">
        <v>145</v>
      </c>
      <c r="D22" s="584">
        <v>96</v>
      </c>
      <c r="E22" s="584">
        <v>100</v>
      </c>
      <c r="F22" s="584">
        <v>98</v>
      </c>
      <c r="G22" s="2316" t="s">
        <v>2091</v>
      </c>
      <c r="H22" s="2334"/>
      <c r="I22" s="2334"/>
      <c r="J22" s="2334"/>
      <c r="K22" s="2334"/>
      <c r="L22" s="2334"/>
      <c r="M22" s="2334"/>
      <c r="N22" s="2334"/>
      <c r="O22" s="2334"/>
      <c r="P22" s="2334"/>
      <c r="Q22" s="2334"/>
      <c r="R22" s="2334"/>
      <c r="S22" s="2334"/>
      <c r="T22" s="2334"/>
      <c r="U22" s="2334"/>
      <c r="V22" s="2334"/>
      <c r="W22" s="2334"/>
      <c r="X22" s="2334"/>
      <c r="Y22" s="2334"/>
      <c r="Z22" s="2334"/>
      <c r="AA22" s="2334"/>
      <c r="AB22" s="2334"/>
      <c r="AC22" s="2334"/>
      <c r="AD22" s="2334"/>
      <c r="AE22" s="2334"/>
      <c r="AF22" s="2334"/>
      <c r="AG22" s="2334"/>
      <c r="AH22" s="2334"/>
      <c r="AI22" s="2334"/>
      <c r="AJ22" s="2334"/>
      <c r="AK22" s="2334"/>
      <c r="AL22" s="2334"/>
      <c r="AM22" s="2335"/>
    </row>
    <row r="23" spans="1:39" ht="32.15" customHeight="1" thickTop="1" thickBot="1">
      <c r="C23" s="11" t="s">
        <v>2092</v>
      </c>
      <c r="D23" s="771">
        <v>0</v>
      </c>
      <c r="E23" s="11"/>
      <c r="F23" s="896" t="s">
        <v>408</v>
      </c>
      <c r="G23" s="2336" t="s">
        <v>2130</v>
      </c>
      <c r="H23" s="2337"/>
      <c r="I23" s="2337"/>
      <c r="J23" s="2337"/>
      <c r="K23" s="2337"/>
      <c r="L23" s="2337"/>
      <c r="M23" s="2337"/>
      <c r="N23" s="2337"/>
      <c r="O23" s="2337"/>
      <c r="P23" s="2337"/>
      <c r="Q23" s="2337"/>
      <c r="R23" s="2337"/>
      <c r="S23" s="2337"/>
      <c r="T23" s="2337"/>
      <c r="U23" s="2337"/>
      <c r="V23" s="2337"/>
      <c r="W23" s="2337"/>
      <c r="X23" s="2337"/>
      <c r="Y23" s="2337"/>
      <c r="Z23" s="2337"/>
      <c r="AA23" s="2337"/>
      <c r="AB23" s="2337"/>
      <c r="AC23" s="2337"/>
      <c r="AD23" s="2337"/>
      <c r="AE23" s="2337"/>
      <c r="AF23" s="2337"/>
      <c r="AG23" s="2337"/>
      <c r="AH23" s="2337"/>
      <c r="AI23" s="2337"/>
      <c r="AJ23" s="2337"/>
      <c r="AK23" s="2337"/>
      <c r="AL23" s="2337"/>
      <c r="AM23" s="2338"/>
    </row>
    <row r="24" spans="1:39" ht="15" thickTop="1"/>
    <row r="27" spans="1:39" ht="15" thickBot="1"/>
    <row r="28" spans="1:39" ht="15.45" thickTop="1" thickBot="1">
      <c r="L28" s="593" t="s">
        <v>926</v>
      </c>
      <c r="M28" s="530">
        <f>IF(OR( NOT(Adversarial),('F2'!$C$7='D3'!$C$30)  ),"n/a",VALUE(CONCATENATE("0",IF('F2'!$C$7='F2'!$C$18,3,""),IF('F2'!$C$7='F2'!$C$19,13,""),IF('F2'!$C$7='F2'!$C$20,51,""),IF('F2'!$C$7='F2'!$C$21,88,""),IF('F2'!$C$7='F2'!$C$22,98,""))))</f>
        <v>51</v>
      </c>
      <c r="O28" s="594" t="s">
        <v>928</v>
      </c>
      <c r="P28" s="575">
        <f>IF( (Work!$AK$8='D3'!$C$30),"n/a",VALUE(CONCATENATE("0",IF(Work!$AK$8='D3'!$C$31,3,""),IF(Work!$AK$8='D3'!$C$32,13,""),IF(Work!$AK$8='D3'!$C$33,51,""),IF(Work!$AK$8='D3'!$C$34,88,""),IF(Work!$AK$8='D3'!$C$35,98,""))))</f>
        <v>51</v>
      </c>
    </row>
    <row r="29" spans="1:39" ht="15.45" thickTop="1" thickBot="1">
      <c r="P29" s="11"/>
    </row>
    <row r="30" spans="1:39" ht="15" thickTop="1"/>
  </sheetData>
  <mergeCells count="9">
    <mergeCell ref="G20:AM20"/>
    <mergeCell ref="G21:AM21"/>
    <mergeCell ref="G22:AM22"/>
    <mergeCell ref="G23:AM23"/>
    <mergeCell ref="C2:D4"/>
    <mergeCell ref="C5:D5"/>
    <mergeCell ref="G17:AM17"/>
    <mergeCell ref="G18:AM18"/>
    <mergeCell ref="G19:AM19"/>
  </mergeCells>
  <conditionalFormatting sqref="C5">
    <cfRule type="expression" dxfId="120" priority="17">
      <formula>SmeRatingD3</formula>
    </cfRule>
  </conditionalFormatting>
  <conditionalFormatting sqref="D6">
    <cfRule type="expression" dxfId="119" priority="23">
      <formula>SmeRatingD3</formula>
    </cfRule>
  </conditionalFormatting>
  <conditionalFormatting sqref="C7">
    <cfRule type="containsText" dxfId="118" priority="18" operator="containsText" text="(Very Low)">
      <formula>NOT(ISERROR(SEARCH("(Very Low)",C7)))</formula>
    </cfRule>
    <cfRule type="containsText" dxfId="117" priority="19" operator="containsText" text="(Low)">
      <formula>NOT(ISERROR(SEARCH("(Low)",C7)))</formula>
    </cfRule>
    <cfRule type="containsText" dxfId="116" priority="20" operator="containsText" text="Moderate">
      <formula>NOT(ISERROR(SEARCH("Moderate",C7)))</formula>
    </cfRule>
    <cfRule type="containsText" dxfId="115" priority="21" operator="containsText" text="(High)">
      <formula>NOT(ISERROR(SEARCH("(High)",C7)))</formula>
    </cfRule>
    <cfRule type="containsText" dxfId="114" priority="22" operator="containsText" text="(Very High)">
      <formula>NOT(ISERROR(SEARCH("(Very High)",C7)))</formula>
    </cfRule>
  </conditionalFormatting>
  <conditionalFormatting sqref="C2:D6">
    <cfRule type="expression" dxfId="113" priority="16">
      <formula>NOT(Adversarial)</formula>
    </cfRule>
  </conditionalFormatting>
  <dataValidations count="2">
    <dataValidation type="list" allowBlank="1" sqref="D7 D13" xr:uid="{00000000-0002-0000-1400-000000000000}">
      <formula1>M28</formula1>
    </dataValidation>
    <dataValidation type="list" allowBlank="1" showErrorMessage="1" sqref="C7 C13" xr:uid="{00000000-0002-0000-1400-000001000000}">
      <formula1>C17:C22</formula1>
    </dataValidation>
  </dataValidations>
  <pageMargins left="0.7" right="0.7" top="0.75" bottom="0.75" header="0.3" footer="0.3"/>
  <pageSetup orientation="portrait" verticalDpi="0" r:id="rId1"/>
  <drawing r:id="rId2"/>
  <legacyDrawing r:id="rId3"/>
  <extLst>
    <ext xmlns:x14="http://schemas.microsoft.com/office/spreadsheetml/2009/9/main" uri="{CCE6A557-97BC-4b89-ADB6-D9C93CAAB3DF}">
      <x14:dataValidations xmlns:xm="http://schemas.microsoft.com/office/excel/2006/main" count="1">
        <x14:dataValidation type="list" allowBlank="1" showInputMessage="1" showErrorMessage="1" xr:uid="{00000000-0002-0000-1400-000002000000}">
          <x14:formula1>
            <xm:f>Work!$AK$8:$AK$8</xm:f>
          </x14:formula1>
          <xm:sqref>J7</xm:sqref>
        </x14:dataValidation>
      </x14:dataValidations>
    </ext>
  </extLst>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rgb="FFFFC000"/>
  </sheetPr>
  <dimension ref="A1:H111"/>
  <sheetViews>
    <sheetView topLeftCell="A36" workbookViewId="0">
      <selection activeCell="B52" sqref="B52"/>
    </sheetView>
  </sheetViews>
  <sheetFormatPr defaultRowHeight="14.6"/>
  <cols>
    <col min="1" max="1" width="10.69140625" customWidth="1"/>
    <col min="2" max="2" width="74.69140625" customWidth="1"/>
    <col min="3" max="3" width="134.69140625" customWidth="1"/>
    <col min="4" max="4" width="93.3828125" customWidth="1"/>
    <col min="5" max="5" width="147" customWidth="1"/>
    <col min="6" max="6" width="60.69140625" customWidth="1"/>
    <col min="7" max="8" width="32.69140625" customWidth="1"/>
  </cols>
  <sheetData>
    <row r="1" spans="2:3" ht="15" thickBot="1"/>
    <row r="2" spans="2:3" ht="30" customHeight="1" thickTop="1">
      <c r="B2" s="2271">
        <f ca="1">OFFSET('F4'!$C$56, 24, MATCH($B$7,  'F4'!$C$56:$E$56,  0)-1)</f>
        <v>316</v>
      </c>
      <c r="C2" s="2272"/>
    </row>
    <row r="3" spans="2:3" ht="30" customHeight="1">
      <c r="B3" s="2273"/>
      <c r="C3" s="2274"/>
    </row>
    <row r="4" spans="2:3" ht="30" customHeight="1" thickBot="1">
      <c r="B4" s="2304"/>
      <c r="C4" s="2305"/>
    </row>
    <row r="5" spans="2:3" ht="15.45" thickTop="1" thickBot="1">
      <c r="B5" s="2306" t="s">
        <v>923</v>
      </c>
      <c r="C5" s="2307"/>
    </row>
    <row r="6" spans="2:3" ht="15.45" thickTop="1" thickBot="1">
      <c r="B6" s="581" t="s">
        <v>932</v>
      </c>
      <c r="C6" s="590" t="s">
        <v>924</v>
      </c>
    </row>
    <row r="7" spans="2:3" ht="15.45" thickTop="1" thickBot="1">
      <c r="B7" s="539" t="s">
        <v>899</v>
      </c>
      <c r="C7" s="456" t="s">
        <v>910</v>
      </c>
    </row>
    <row r="8" spans="2:3" ht="15" thickTop="1">
      <c r="B8" s="531"/>
      <c r="C8" s="531"/>
    </row>
    <row r="19" spans="2:8">
      <c r="C19" s="38"/>
    </row>
    <row r="20" spans="2:8">
      <c r="C20" s="23" t="s">
        <v>77</v>
      </c>
      <c r="D20" s="23" t="s">
        <v>78</v>
      </c>
      <c r="E20" s="23" t="s">
        <v>79</v>
      </c>
      <c r="F20" s="23" t="s">
        <v>80</v>
      </c>
      <c r="H20" s="23"/>
    </row>
    <row r="21" spans="2:8" ht="15" thickBot="1">
      <c r="C21" s="120" t="s">
        <v>2187</v>
      </c>
      <c r="D21" s="1" t="s">
        <v>896</v>
      </c>
    </row>
    <row r="22" spans="2:8" ht="15.45" thickTop="1" thickBot="1">
      <c r="B22" s="576" t="s">
        <v>921</v>
      </c>
      <c r="C22" s="585" t="s">
        <v>897</v>
      </c>
      <c r="D22" s="585" t="s">
        <v>898</v>
      </c>
      <c r="E22" s="586" t="s">
        <v>899</v>
      </c>
      <c r="F22" s="586" t="s">
        <v>1279</v>
      </c>
      <c r="H22" s="23"/>
    </row>
    <row r="23" spans="2:8" ht="15" thickTop="1">
      <c r="B23" s="467" t="s">
        <v>783</v>
      </c>
      <c r="C23" s="104" t="s">
        <v>2188</v>
      </c>
      <c r="D23" s="104" t="s">
        <v>2189</v>
      </c>
      <c r="E23" s="104" t="s">
        <v>2190</v>
      </c>
      <c r="F23" s="104" t="s">
        <v>2191</v>
      </c>
      <c r="H23" s="23"/>
    </row>
    <row r="24" spans="2:8" ht="15" thickBot="1">
      <c r="B24" s="75"/>
      <c r="C24" s="787"/>
      <c r="D24" s="787"/>
      <c r="E24" s="787"/>
      <c r="F24" s="787"/>
      <c r="G24" s="23"/>
      <c r="H24" s="23"/>
    </row>
    <row r="25" spans="2:8" ht="19.3" thickTop="1" thickBot="1">
      <c r="B25" s="514" t="s">
        <v>896</v>
      </c>
      <c r="C25" s="787"/>
      <c r="D25" s="787"/>
      <c r="E25" s="787"/>
      <c r="F25" s="787"/>
      <c r="G25" s="23"/>
      <c r="H25" s="23"/>
    </row>
    <row r="26" spans="2:8" ht="15.45" thickTop="1" thickBot="1">
      <c r="B26" s="881" t="s">
        <v>897</v>
      </c>
      <c r="C26" s="787"/>
      <c r="D26" s="787"/>
      <c r="E26" s="787"/>
      <c r="F26" s="787"/>
      <c r="G26" s="23"/>
      <c r="H26" s="23"/>
    </row>
    <row r="27" spans="2:8" ht="15.45" thickTop="1" thickBot="1">
      <c r="B27" s="881" t="s">
        <v>898</v>
      </c>
      <c r="C27" s="94"/>
      <c r="D27" s="94"/>
      <c r="E27" s="94"/>
      <c r="F27" s="94"/>
    </row>
    <row r="28" spans="2:8" ht="15.45" thickTop="1" thickBot="1">
      <c r="B28" s="881" t="s">
        <v>899</v>
      </c>
      <c r="C28" s="94"/>
      <c r="D28" s="94"/>
      <c r="E28" s="94"/>
      <c r="F28" s="94"/>
    </row>
    <row r="29" spans="2:8" ht="15.45" thickTop="1" thickBot="1">
      <c r="B29" s="881"/>
      <c r="C29" s="94"/>
      <c r="D29" s="94"/>
      <c r="E29" s="94"/>
      <c r="F29" s="94"/>
    </row>
    <row r="30" spans="2:8" ht="15.45" thickTop="1" thickBot="1">
      <c r="B30" s="881"/>
      <c r="C30" s="94"/>
      <c r="D30" s="94"/>
      <c r="E30" s="94"/>
      <c r="F30" s="94"/>
    </row>
    <row r="31" spans="2:8" ht="15.45" thickTop="1" thickBot="1">
      <c r="B31" s="881"/>
      <c r="C31" s="94"/>
      <c r="D31" s="94"/>
      <c r="E31" s="94"/>
      <c r="F31" s="94"/>
    </row>
    <row r="32" spans="2:8" ht="15.45" thickTop="1" thickBot="1">
      <c r="B32" s="881"/>
      <c r="C32" s="94"/>
      <c r="D32" s="94"/>
      <c r="E32" s="94"/>
      <c r="F32" s="94"/>
    </row>
    <row r="33" spans="1:6" ht="15.45" thickTop="1" thickBot="1">
      <c r="B33" s="881"/>
      <c r="C33" s="94" t="s">
        <v>2193</v>
      </c>
      <c r="D33" s="94"/>
      <c r="E33" s="94"/>
      <c r="F33" s="94"/>
    </row>
    <row r="34" spans="1:6" ht="15" thickTop="1">
      <c r="A34">
        <v>1</v>
      </c>
      <c r="B34" s="75"/>
      <c r="C34" s="94" t="s">
        <v>2194</v>
      </c>
      <c r="D34" s="94"/>
      <c r="E34" s="94"/>
      <c r="F34" s="94"/>
    </row>
    <row r="35" spans="1:6">
      <c r="A35">
        <f>1+A34</f>
        <v>2</v>
      </c>
      <c r="B35" s="882"/>
      <c r="C35" s="94" t="s">
        <v>2195</v>
      </c>
      <c r="D35" s="94"/>
      <c r="E35" s="94"/>
      <c r="F35" s="94"/>
    </row>
    <row r="36" spans="1:6">
      <c r="A36">
        <f t="shared" ref="A36:A47" si="0">1+A35</f>
        <v>3</v>
      </c>
      <c r="B36" s="882"/>
      <c r="C36" s="94"/>
      <c r="D36" s="94"/>
      <c r="E36" s="94"/>
      <c r="F36" s="94"/>
    </row>
    <row r="37" spans="1:6">
      <c r="A37">
        <f t="shared" si="0"/>
        <v>4</v>
      </c>
      <c r="B37" s="882"/>
      <c r="C37" s="1830">
        <f ca="1">OFFSET('F4'!$C$56, 24, MATCH(Work!$AN$8,  'F4'!$C$56:$E$56,  0)-1)</f>
        <v>216</v>
      </c>
      <c r="D37" s="94"/>
      <c r="E37" s="94"/>
      <c r="F37" s="94"/>
    </row>
    <row r="38" spans="1:6">
      <c r="A38">
        <f t="shared" si="0"/>
        <v>5</v>
      </c>
      <c r="B38" s="882"/>
      <c r="C38" s="94" t="s">
        <v>2196</v>
      </c>
      <c r="D38" s="94"/>
      <c r="E38" s="94"/>
      <c r="F38" s="94"/>
    </row>
    <row r="39" spans="1:6">
      <c r="A39">
        <f t="shared" si="0"/>
        <v>6</v>
      </c>
      <c r="B39" s="882"/>
      <c r="C39" s="94"/>
      <c r="D39" s="94"/>
      <c r="E39" s="94"/>
      <c r="F39" s="94"/>
    </row>
    <row r="40" spans="1:6">
      <c r="A40">
        <f t="shared" si="0"/>
        <v>7</v>
      </c>
      <c r="B40" s="882"/>
      <c r="C40" s="94"/>
      <c r="D40" s="94"/>
      <c r="E40" s="94"/>
      <c r="F40" s="94"/>
    </row>
    <row r="41" spans="1:6">
      <c r="A41">
        <f t="shared" si="0"/>
        <v>8</v>
      </c>
      <c r="B41" s="882"/>
      <c r="C41" s="94"/>
      <c r="D41" s="94"/>
      <c r="E41" s="94"/>
      <c r="F41" s="94"/>
    </row>
    <row r="42" spans="1:6">
      <c r="A42">
        <f t="shared" si="0"/>
        <v>9</v>
      </c>
      <c r="B42" s="882"/>
      <c r="C42" s="94"/>
      <c r="D42" s="94"/>
      <c r="E42" s="94"/>
      <c r="F42" s="94"/>
    </row>
    <row r="43" spans="1:6">
      <c r="A43">
        <f t="shared" si="0"/>
        <v>10</v>
      </c>
      <c r="B43" s="882"/>
      <c r="C43" s="94"/>
      <c r="D43" s="94"/>
      <c r="E43" s="94"/>
      <c r="F43" s="94"/>
    </row>
    <row r="44" spans="1:6">
      <c r="A44">
        <f t="shared" si="0"/>
        <v>11</v>
      </c>
      <c r="B44" s="882"/>
      <c r="C44" s="94"/>
      <c r="D44" s="94"/>
      <c r="E44" s="94"/>
      <c r="F44" s="94"/>
    </row>
    <row r="45" spans="1:6">
      <c r="A45">
        <f t="shared" si="0"/>
        <v>12</v>
      </c>
      <c r="B45" s="882"/>
      <c r="C45" s="94"/>
      <c r="D45" s="94"/>
      <c r="E45" s="94"/>
      <c r="F45" s="94"/>
    </row>
    <row r="46" spans="1:6">
      <c r="A46">
        <f t="shared" si="0"/>
        <v>13</v>
      </c>
      <c r="B46" s="882"/>
      <c r="C46" s="94"/>
      <c r="D46" s="94"/>
      <c r="E46" s="94"/>
      <c r="F46" s="94"/>
    </row>
    <row r="47" spans="1:6">
      <c r="A47">
        <f t="shared" si="0"/>
        <v>14</v>
      </c>
      <c r="B47" s="882"/>
      <c r="C47" s="94"/>
      <c r="D47" s="94"/>
      <c r="E47" s="94"/>
      <c r="F47" s="94"/>
    </row>
    <row r="48" spans="1:6">
      <c r="A48">
        <f t="shared" ref="A48:A49" si="1">1+A47</f>
        <v>15</v>
      </c>
      <c r="B48" s="882"/>
      <c r="C48" s="94"/>
      <c r="D48" s="94"/>
      <c r="E48" s="94"/>
      <c r="F48" s="94"/>
    </row>
    <row r="49" spans="1:8">
      <c r="A49">
        <f t="shared" si="1"/>
        <v>16</v>
      </c>
      <c r="B49" s="75"/>
      <c r="C49" s="94"/>
      <c r="D49" s="94"/>
      <c r="E49" s="94"/>
      <c r="F49" s="94"/>
    </row>
    <row r="50" spans="1:8">
      <c r="A50">
        <f t="shared" ref="A50:A54" si="2">1+A49</f>
        <v>17</v>
      </c>
      <c r="B50" s="75"/>
      <c r="C50" s="94"/>
      <c r="D50" s="94"/>
      <c r="E50" s="94"/>
      <c r="F50" s="94"/>
    </row>
    <row r="51" spans="1:8">
      <c r="A51" s="88">
        <f t="shared" si="2"/>
        <v>18</v>
      </c>
      <c r="B51" s="1935"/>
      <c r="C51" s="883"/>
      <c r="D51" s="787"/>
      <c r="E51" s="787"/>
      <c r="F51" s="787"/>
    </row>
    <row r="52" spans="1:8">
      <c r="A52" s="88">
        <f t="shared" si="2"/>
        <v>19</v>
      </c>
      <c r="C52" s="883"/>
      <c r="D52" s="787"/>
      <c r="E52" s="787"/>
      <c r="F52" s="787"/>
    </row>
    <row r="53" spans="1:8">
      <c r="A53" s="88">
        <f t="shared" si="2"/>
        <v>20</v>
      </c>
      <c r="C53" s="883"/>
      <c r="D53" s="787"/>
      <c r="E53" s="787"/>
      <c r="F53" s="787"/>
    </row>
    <row r="54" spans="1:8" s="1931" customFormat="1" ht="15" thickBot="1">
      <c r="A54" s="88">
        <f t="shared" si="2"/>
        <v>21</v>
      </c>
      <c r="B54" s="1934"/>
      <c r="C54" s="1954">
        <f>1+B54</f>
        <v>1</v>
      </c>
      <c r="D54" s="1954">
        <f t="shared" ref="D54:F54" si="3">1+C54</f>
        <v>2</v>
      </c>
      <c r="E54" s="1954">
        <f t="shared" si="3"/>
        <v>3</v>
      </c>
      <c r="F54" s="1954">
        <f t="shared" si="3"/>
        <v>4</v>
      </c>
    </row>
    <row r="55" spans="1:8" ht="15.45" thickTop="1" thickBot="1">
      <c r="B55" s="113"/>
      <c r="C55" s="118" t="s">
        <v>2183</v>
      </c>
      <c r="D55" s="118" t="s">
        <v>2184</v>
      </c>
      <c r="E55" s="118" t="s">
        <v>2185</v>
      </c>
      <c r="F55" s="118" t="s">
        <v>2186</v>
      </c>
      <c r="G55" s="23"/>
      <c r="H55" s="23"/>
    </row>
    <row r="56" spans="1:8" ht="16.75" thickTop="1" thickBot="1">
      <c r="A56" s="1952">
        <v>0</v>
      </c>
      <c r="B56" s="118"/>
      <c r="C56" s="899" t="s">
        <v>897</v>
      </c>
      <c r="D56" s="585" t="s">
        <v>898</v>
      </c>
      <c r="E56" s="586" t="s">
        <v>899</v>
      </c>
      <c r="F56" s="897" t="s">
        <v>1279</v>
      </c>
      <c r="G56" s="23"/>
      <c r="H56" s="23"/>
    </row>
    <row r="57" spans="1:8" ht="15" thickTop="1">
      <c r="A57" s="1953">
        <v>1</v>
      </c>
      <c r="B57" s="589" t="s">
        <v>922</v>
      </c>
      <c r="C57" t="s">
        <v>1247</v>
      </c>
      <c r="D57" s="76" t="s">
        <v>934</v>
      </c>
      <c r="E57" s="13" t="s">
        <v>913</v>
      </c>
      <c r="F57" s="892" t="s">
        <v>1279</v>
      </c>
    </row>
    <row r="58" spans="1:8">
      <c r="A58" s="1953">
        <f>1+A57</f>
        <v>2</v>
      </c>
      <c r="B58" s="341"/>
      <c r="C58" t="s">
        <v>900</v>
      </c>
      <c r="D58" s="13" t="s">
        <v>906</v>
      </c>
      <c r="E58" s="13" t="s">
        <v>914</v>
      </c>
      <c r="F58" s="13"/>
    </row>
    <row r="59" spans="1:8">
      <c r="A59" s="1953">
        <f t="shared" ref="A59:A110" si="4">1+A58</f>
        <v>3</v>
      </c>
      <c r="B59" s="341"/>
      <c r="C59" t="s">
        <v>901</v>
      </c>
      <c r="D59" s="13" t="s">
        <v>905</v>
      </c>
      <c r="E59" s="13" t="s">
        <v>915</v>
      </c>
      <c r="F59" s="13"/>
    </row>
    <row r="60" spans="1:8">
      <c r="A60" s="1953">
        <f t="shared" si="4"/>
        <v>4</v>
      </c>
      <c r="B60" s="341"/>
      <c r="C60" t="s">
        <v>902</v>
      </c>
      <c r="D60" s="13" t="s">
        <v>904</v>
      </c>
      <c r="E60" s="13" t="s">
        <v>916</v>
      </c>
      <c r="F60" s="13"/>
    </row>
    <row r="61" spans="1:8">
      <c r="A61" s="1953">
        <f t="shared" si="4"/>
        <v>5</v>
      </c>
      <c r="B61" s="1955"/>
      <c r="C61" t="s">
        <v>903</v>
      </c>
      <c r="D61" s="13" t="s">
        <v>909</v>
      </c>
      <c r="E61" s="13" t="s">
        <v>917</v>
      </c>
      <c r="F61" s="13"/>
    </row>
    <row r="62" spans="1:8" ht="18.45">
      <c r="A62" s="1953">
        <f t="shared" si="4"/>
        <v>6</v>
      </c>
      <c r="B62" s="1957"/>
      <c r="C62" t="s">
        <v>907</v>
      </c>
      <c r="D62" s="13" t="s">
        <v>910</v>
      </c>
      <c r="E62" s="13"/>
      <c r="F62" s="13"/>
    </row>
    <row r="63" spans="1:8">
      <c r="A63" s="1953">
        <f t="shared" si="4"/>
        <v>7</v>
      </c>
      <c r="B63" s="1956"/>
      <c r="C63" t="s">
        <v>908</v>
      </c>
      <c r="D63" s="13" t="s">
        <v>911</v>
      </c>
      <c r="E63" s="13"/>
      <c r="F63" s="13"/>
    </row>
    <row r="64" spans="1:8">
      <c r="A64" s="1953">
        <f t="shared" si="4"/>
        <v>8</v>
      </c>
      <c r="B64" s="341"/>
      <c r="D64" s="13" t="s">
        <v>912</v>
      </c>
      <c r="E64" s="13"/>
      <c r="F64" s="13"/>
    </row>
    <row r="65" spans="1:6">
      <c r="A65" s="1953">
        <f t="shared" si="4"/>
        <v>9</v>
      </c>
      <c r="B65" s="341"/>
      <c r="C65" s="13">
        <v>101</v>
      </c>
      <c r="D65" s="13">
        <v>201</v>
      </c>
      <c r="E65" s="13">
        <v>301</v>
      </c>
      <c r="F65" s="13">
        <v>401</v>
      </c>
    </row>
    <row r="66" spans="1:6">
      <c r="A66" s="1953">
        <f t="shared" si="4"/>
        <v>10</v>
      </c>
      <c r="B66" s="341"/>
      <c r="C66" s="13">
        <f>1+C65</f>
        <v>102</v>
      </c>
      <c r="D66" s="13">
        <f>1+D65</f>
        <v>202</v>
      </c>
      <c r="E66" s="13">
        <f>1+E65</f>
        <v>302</v>
      </c>
      <c r="F66" s="13">
        <f>1+F65</f>
        <v>402</v>
      </c>
    </row>
    <row r="67" spans="1:6">
      <c r="A67" s="1953">
        <f t="shared" si="4"/>
        <v>11</v>
      </c>
      <c r="B67" s="341"/>
      <c r="C67" s="13">
        <f t="shared" ref="C67:F80" si="5">1+C66</f>
        <v>103</v>
      </c>
      <c r="D67" s="13">
        <f t="shared" si="5"/>
        <v>203</v>
      </c>
      <c r="E67" s="13">
        <f t="shared" si="5"/>
        <v>303</v>
      </c>
      <c r="F67" s="13">
        <f t="shared" si="5"/>
        <v>403</v>
      </c>
    </row>
    <row r="68" spans="1:6">
      <c r="A68" s="1953">
        <f t="shared" si="4"/>
        <v>12</v>
      </c>
      <c r="B68" s="341"/>
      <c r="C68" s="13">
        <f t="shared" si="5"/>
        <v>104</v>
      </c>
      <c r="D68" s="13">
        <f t="shared" si="5"/>
        <v>204</v>
      </c>
      <c r="E68" s="13">
        <f t="shared" si="5"/>
        <v>304</v>
      </c>
      <c r="F68" s="13">
        <f t="shared" si="5"/>
        <v>404</v>
      </c>
    </row>
    <row r="69" spans="1:6">
      <c r="A69" s="1953">
        <f t="shared" si="4"/>
        <v>13</v>
      </c>
      <c r="B69" s="341"/>
      <c r="C69" s="13">
        <f t="shared" si="5"/>
        <v>105</v>
      </c>
      <c r="D69" s="13">
        <f t="shared" si="5"/>
        <v>205</v>
      </c>
      <c r="E69" s="13">
        <f t="shared" si="5"/>
        <v>305</v>
      </c>
      <c r="F69" s="13">
        <f t="shared" si="5"/>
        <v>405</v>
      </c>
    </row>
    <row r="70" spans="1:6">
      <c r="A70" s="1953">
        <f t="shared" si="4"/>
        <v>14</v>
      </c>
      <c r="B70" s="341"/>
      <c r="C70" s="13">
        <f t="shared" si="5"/>
        <v>106</v>
      </c>
      <c r="D70" s="13">
        <f t="shared" si="5"/>
        <v>206</v>
      </c>
      <c r="E70" s="13">
        <f t="shared" si="5"/>
        <v>306</v>
      </c>
      <c r="F70" s="13">
        <f t="shared" si="5"/>
        <v>406</v>
      </c>
    </row>
    <row r="71" spans="1:6">
      <c r="A71" s="1953">
        <f t="shared" si="4"/>
        <v>15</v>
      </c>
      <c r="B71" s="341"/>
      <c r="C71" s="13">
        <f t="shared" si="5"/>
        <v>107</v>
      </c>
      <c r="D71" s="13">
        <f t="shared" si="5"/>
        <v>207</v>
      </c>
      <c r="E71" s="13">
        <f t="shared" si="5"/>
        <v>307</v>
      </c>
      <c r="F71" s="13">
        <f t="shared" si="5"/>
        <v>407</v>
      </c>
    </row>
    <row r="72" spans="1:6">
      <c r="A72" s="1953">
        <f t="shared" si="4"/>
        <v>16</v>
      </c>
      <c r="B72" s="341"/>
      <c r="C72" s="13">
        <f t="shared" si="5"/>
        <v>108</v>
      </c>
      <c r="D72" s="13">
        <f t="shared" si="5"/>
        <v>208</v>
      </c>
      <c r="E72" s="13">
        <f t="shared" si="5"/>
        <v>308</v>
      </c>
      <c r="F72" s="13">
        <f t="shared" si="5"/>
        <v>408</v>
      </c>
    </row>
    <row r="73" spans="1:6">
      <c r="A73" s="1953">
        <f t="shared" si="4"/>
        <v>17</v>
      </c>
      <c r="B73" s="341"/>
      <c r="C73" s="13">
        <f t="shared" si="5"/>
        <v>109</v>
      </c>
      <c r="D73" s="13">
        <f t="shared" si="5"/>
        <v>209</v>
      </c>
      <c r="E73" s="13">
        <f t="shared" si="5"/>
        <v>309</v>
      </c>
      <c r="F73" s="13">
        <f t="shared" si="5"/>
        <v>409</v>
      </c>
    </row>
    <row r="74" spans="1:6">
      <c r="A74" s="1953">
        <f t="shared" si="4"/>
        <v>18</v>
      </c>
      <c r="B74" s="341"/>
      <c r="C74" s="13">
        <f t="shared" si="5"/>
        <v>110</v>
      </c>
      <c r="D74" s="13">
        <f t="shared" si="5"/>
        <v>210</v>
      </c>
      <c r="E74" s="13">
        <f t="shared" si="5"/>
        <v>310</v>
      </c>
      <c r="F74" s="13">
        <f t="shared" si="5"/>
        <v>410</v>
      </c>
    </row>
    <row r="75" spans="1:6">
      <c r="A75" s="1953">
        <f t="shared" si="4"/>
        <v>19</v>
      </c>
      <c r="B75" s="341"/>
      <c r="C75" s="13">
        <f t="shared" si="5"/>
        <v>111</v>
      </c>
      <c r="D75" s="13">
        <f t="shared" si="5"/>
        <v>211</v>
      </c>
      <c r="E75" s="13">
        <f t="shared" si="5"/>
        <v>311</v>
      </c>
      <c r="F75" s="13">
        <f t="shared" si="5"/>
        <v>411</v>
      </c>
    </row>
    <row r="76" spans="1:6">
      <c r="A76" s="1953">
        <f t="shared" si="4"/>
        <v>20</v>
      </c>
      <c r="B76" s="341"/>
      <c r="C76" s="13">
        <f t="shared" si="5"/>
        <v>112</v>
      </c>
      <c r="D76" s="13">
        <f t="shared" si="5"/>
        <v>212</v>
      </c>
      <c r="E76" s="13">
        <f t="shared" si="5"/>
        <v>312</v>
      </c>
      <c r="F76" s="13">
        <f t="shared" si="5"/>
        <v>412</v>
      </c>
    </row>
    <row r="77" spans="1:6">
      <c r="A77" s="1953">
        <f t="shared" si="4"/>
        <v>21</v>
      </c>
      <c r="B77" s="341"/>
      <c r="C77" s="13">
        <f t="shared" si="5"/>
        <v>113</v>
      </c>
      <c r="D77" s="13">
        <f t="shared" si="5"/>
        <v>213</v>
      </c>
      <c r="E77" s="13">
        <f t="shared" si="5"/>
        <v>313</v>
      </c>
      <c r="F77" s="13">
        <f t="shared" si="5"/>
        <v>413</v>
      </c>
    </row>
    <row r="78" spans="1:6" ht="15" thickBot="1">
      <c r="A78" s="1953">
        <f t="shared" si="4"/>
        <v>22</v>
      </c>
      <c r="B78" s="421"/>
      <c r="C78" s="13">
        <f t="shared" si="5"/>
        <v>114</v>
      </c>
      <c r="D78" s="13">
        <f t="shared" si="5"/>
        <v>214</v>
      </c>
      <c r="E78" s="13">
        <f t="shared" si="5"/>
        <v>314</v>
      </c>
      <c r="F78" s="13">
        <f t="shared" si="5"/>
        <v>414</v>
      </c>
    </row>
    <row r="79" spans="1:6" s="1931" customFormat="1" ht="15" thickTop="1">
      <c r="A79" s="1953">
        <f t="shared" si="4"/>
        <v>23</v>
      </c>
      <c r="B79" s="1934"/>
      <c r="C79" s="13">
        <f t="shared" si="5"/>
        <v>115</v>
      </c>
      <c r="D79" s="13">
        <f t="shared" si="5"/>
        <v>215</v>
      </c>
      <c r="E79" s="13">
        <f t="shared" si="5"/>
        <v>315</v>
      </c>
      <c r="F79" s="13">
        <f t="shared" si="5"/>
        <v>415</v>
      </c>
    </row>
    <row r="80" spans="1:6" s="1931" customFormat="1">
      <c r="A80" s="1953">
        <f t="shared" si="4"/>
        <v>24</v>
      </c>
      <c r="B80" s="1933"/>
      <c r="C80" s="13">
        <f t="shared" si="5"/>
        <v>116</v>
      </c>
      <c r="D80" s="13">
        <f t="shared" si="5"/>
        <v>216</v>
      </c>
      <c r="E80" s="13">
        <f t="shared" si="5"/>
        <v>316</v>
      </c>
      <c r="F80" s="13">
        <f t="shared" si="5"/>
        <v>416</v>
      </c>
    </row>
    <row r="81" spans="1:6" s="1931" customFormat="1">
      <c r="A81" s="1953">
        <f t="shared" si="4"/>
        <v>25</v>
      </c>
      <c r="B81" s="1933"/>
      <c r="C81" s="1949"/>
      <c r="D81" s="1949"/>
      <c r="E81" s="1949"/>
      <c r="F81" s="1949"/>
    </row>
    <row r="82" spans="1:6" s="1931" customFormat="1">
      <c r="A82" s="1953">
        <f t="shared" si="4"/>
        <v>26</v>
      </c>
      <c r="B82" s="1933"/>
      <c r="C82" s="1949"/>
      <c r="D82" s="1949"/>
      <c r="E82" s="1949"/>
      <c r="F82" s="1949"/>
    </row>
    <row r="83" spans="1:6" s="1931" customFormat="1">
      <c r="A83" s="1953">
        <f t="shared" si="4"/>
        <v>27</v>
      </c>
      <c r="B83" s="1933"/>
      <c r="C83" s="1949"/>
      <c r="D83" s="1949"/>
      <c r="E83" s="1949"/>
      <c r="F83" s="1949"/>
    </row>
    <row r="84" spans="1:6" s="1931" customFormat="1">
      <c r="A84" s="1953">
        <f t="shared" si="4"/>
        <v>28</v>
      </c>
      <c r="B84" s="1933"/>
      <c r="C84" s="1949"/>
      <c r="D84" s="1949"/>
      <c r="E84" s="1949"/>
      <c r="F84" s="1949"/>
    </row>
    <row r="85" spans="1:6" s="1931" customFormat="1">
      <c r="A85" s="1953">
        <f t="shared" si="4"/>
        <v>29</v>
      </c>
      <c r="B85" s="1933"/>
      <c r="C85" s="1949"/>
      <c r="D85" s="1949"/>
      <c r="E85" s="1949"/>
      <c r="F85" s="1949"/>
    </row>
    <row r="86" spans="1:6" s="1931" customFormat="1">
      <c r="A86" s="1953">
        <f t="shared" si="4"/>
        <v>30</v>
      </c>
      <c r="B86" s="1933"/>
      <c r="C86" s="1949"/>
      <c r="D86" s="1949"/>
      <c r="E86" s="1949"/>
      <c r="F86" s="1949"/>
    </row>
    <row r="87" spans="1:6" s="1931" customFormat="1">
      <c r="A87" s="1953">
        <f t="shared" si="4"/>
        <v>31</v>
      </c>
      <c r="B87" s="1933"/>
      <c r="C87" s="1949"/>
      <c r="D87" s="1949"/>
      <c r="E87" s="1949"/>
      <c r="F87" s="1949"/>
    </row>
    <row r="88" spans="1:6" s="1931" customFormat="1">
      <c r="A88" s="1953">
        <f t="shared" si="4"/>
        <v>32</v>
      </c>
      <c r="B88" s="1933"/>
      <c r="C88" s="1949"/>
      <c r="D88" s="1949"/>
      <c r="E88" s="1949"/>
      <c r="F88" s="1949"/>
    </row>
    <row r="89" spans="1:6" s="1931" customFormat="1">
      <c r="A89" s="1953">
        <f t="shared" si="4"/>
        <v>33</v>
      </c>
      <c r="B89" s="1933"/>
      <c r="C89" s="1949"/>
      <c r="D89" s="1949"/>
      <c r="E89" s="1949"/>
      <c r="F89" s="1949"/>
    </row>
    <row r="90" spans="1:6" s="1931" customFormat="1">
      <c r="A90" s="1953">
        <f t="shared" si="4"/>
        <v>34</v>
      </c>
      <c r="B90" s="1933"/>
      <c r="C90" s="1949"/>
      <c r="D90" s="1949"/>
      <c r="E90" s="1949"/>
      <c r="F90" s="1949"/>
    </row>
    <row r="91" spans="1:6" s="1931" customFormat="1">
      <c r="A91" s="1953">
        <f t="shared" si="4"/>
        <v>35</v>
      </c>
      <c r="B91" s="1933"/>
      <c r="C91" s="1949"/>
      <c r="D91" s="1949"/>
      <c r="E91" s="1949"/>
      <c r="F91" s="1949"/>
    </row>
    <row r="92" spans="1:6" s="1931" customFormat="1">
      <c r="A92" s="1953">
        <f t="shared" si="4"/>
        <v>36</v>
      </c>
      <c r="B92" s="1933"/>
      <c r="C92" s="1949"/>
      <c r="D92" s="1949"/>
      <c r="E92" s="1949"/>
      <c r="F92" s="1949"/>
    </row>
    <row r="93" spans="1:6" s="1931" customFormat="1">
      <c r="A93" s="1953">
        <f t="shared" si="4"/>
        <v>37</v>
      </c>
      <c r="B93" s="1933"/>
      <c r="C93" s="1949"/>
      <c r="D93" s="1949"/>
      <c r="E93" s="1949"/>
      <c r="F93" s="1949"/>
    </row>
    <row r="94" spans="1:6" s="1931" customFormat="1">
      <c r="A94" s="1953">
        <f t="shared" si="4"/>
        <v>38</v>
      </c>
      <c r="B94" s="1933"/>
      <c r="C94" s="1949"/>
      <c r="D94" s="1949"/>
      <c r="E94" s="1949"/>
      <c r="F94" s="1949"/>
    </row>
    <row r="95" spans="1:6" s="1933" customFormat="1">
      <c r="A95" s="1953">
        <f t="shared" si="4"/>
        <v>39</v>
      </c>
      <c r="C95" s="1949"/>
      <c r="D95" s="1949"/>
      <c r="E95" s="1949"/>
      <c r="F95" s="1949"/>
    </row>
    <row r="96" spans="1:6" s="1933" customFormat="1">
      <c r="A96" s="1953">
        <f t="shared" si="4"/>
        <v>40</v>
      </c>
      <c r="C96" s="1949"/>
      <c r="D96" s="1949"/>
      <c r="E96" s="1949"/>
      <c r="F96" s="1949"/>
    </row>
    <row r="97" spans="1:6" s="1933" customFormat="1">
      <c r="A97" s="1953">
        <f t="shared" si="4"/>
        <v>41</v>
      </c>
      <c r="C97" s="1949"/>
      <c r="D97" s="1949"/>
      <c r="E97" s="1949"/>
      <c r="F97" s="1949"/>
    </row>
    <row r="98" spans="1:6" s="1933" customFormat="1">
      <c r="A98" s="1953">
        <f t="shared" si="4"/>
        <v>42</v>
      </c>
      <c r="C98" s="1949"/>
      <c r="D98" s="1949"/>
      <c r="E98" s="1949"/>
      <c r="F98" s="1949"/>
    </row>
    <row r="99" spans="1:6" s="1933" customFormat="1">
      <c r="A99" s="1953">
        <f t="shared" si="4"/>
        <v>43</v>
      </c>
      <c r="C99" s="1949"/>
      <c r="D99" s="1949"/>
      <c r="E99" s="1949"/>
      <c r="F99" s="1949"/>
    </row>
    <row r="100" spans="1:6" s="1933" customFormat="1" ht="15" thickBot="1">
      <c r="A100" s="1953">
        <f t="shared" si="4"/>
        <v>44</v>
      </c>
      <c r="C100" s="1948"/>
      <c r="D100" s="1948"/>
      <c r="E100" s="1948"/>
      <c r="F100" s="1949"/>
    </row>
    <row r="101" spans="1:6" ht="15.45" thickTop="1" thickBot="1">
      <c r="A101" s="1953">
        <f t="shared" si="4"/>
        <v>45</v>
      </c>
      <c r="B101" s="1931"/>
      <c r="C101" s="108" t="s">
        <v>2179</v>
      </c>
      <c r="D101" s="108" t="s">
        <v>2180</v>
      </c>
      <c r="E101" s="108" t="s">
        <v>2181</v>
      </c>
      <c r="F101" s="898" t="s">
        <v>2182</v>
      </c>
    </row>
    <row r="102" spans="1:6" ht="44.15" thickTop="1">
      <c r="A102" s="1953">
        <f t="shared" si="4"/>
        <v>46</v>
      </c>
      <c r="B102" s="587" t="s">
        <v>102</v>
      </c>
      <c r="C102" s="588" t="s">
        <v>918</v>
      </c>
      <c r="D102" s="588" t="s">
        <v>919</v>
      </c>
      <c r="E102" s="588" t="s">
        <v>920</v>
      </c>
      <c r="F102" s="167" t="s">
        <v>1271</v>
      </c>
    </row>
    <row r="103" spans="1:6">
      <c r="A103" s="1953">
        <f t="shared" si="4"/>
        <v>47</v>
      </c>
      <c r="C103" s="13"/>
      <c r="D103" s="13"/>
      <c r="E103" s="13"/>
      <c r="F103" s="13"/>
    </row>
    <row r="104" spans="1:6">
      <c r="A104" s="1953">
        <f t="shared" si="4"/>
        <v>48</v>
      </c>
      <c r="C104" s="13"/>
      <c r="D104" s="13"/>
      <c r="E104" s="13"/>
      <c r="F104" s="13"/>
    </row>
    <row r="105" spans="1:6">
      <c r="A105" s="1953">
        <f t="shared" si="4"/>
        <v>49</v>
      </c>
      <c r="C105" s="13"/>
      <c r="D105" s="13"/>
      <c r="E105" s="13"/>
      <c r="F105" s="13"/>
    </row>
    <row r="106" spans="1:6">
      <c r="A106" s="1953">
        <f t="shared" si="4"/>
        <v>50</v>
      </c>
      <c r="C106" s="13"/>
      <c r="D106" s="13"/>
      <c r="E106" s="13"/>
      <c r="F106" s="13"/>
    </row>
    <row r="107" spans="1:6">
      <c r="A107" s="1953">
        <f t="shared" si="4"/>
        <v>51</v>
      </c>
      <c r="C107" s="13"/>
      <c r="D107" s="13"/>
      <c r="E107" s="13"/>
      <c r="F107" s="13"/>
    </row>
    <row r="108" spans="1:6">
      <c r="A108" s="1953">
        <f t="shared" si="4"/>
        <v>52</v>
      </c>
      <c r="C108" s="13"/>
      <c r="D108" s="13"/>
      <c r="E108" s="13"/>
      <c r="F108" s="13"/>
    </row>
    <row r="109" spans="1:6">
      <c r="A109" s="1953">
        <f t="shared" si="4"/>
        <v>53</v>
      </c>
      <c r="C109" s="13"/>
      <c r="D109" s="13"/>
      <c r="E109" s="13"/>
      <c r="F109" s="13"/>
    </row>
    <row r="110" spans="1:6" ht="15" thickBot="1">
      <c r="A110" s="1953">
        <f t="shared" si="4"/>
        <v>54</v>
      </c>
      <c r="C110" s="14"/>
      <c r="D110" s="14"/>
      <c r="E110" s="14"/>
      <c r="F110" s="14"/>
    </row>
    <row r="111" spans="1:6" ht="15" thickTop="1"/>
  </sheetData>
  <dataConsolidate link="1"/>
  <mergeCells count="2">
    <mergeCell ref="B2:C4"/>
    <mergeCell ref="B5:C5"/>
  </mergeCells>
  <dataValidations disablePrompts="1" count="2">
    <dataValidation type="list" allowBlank="1" showErrorMessage="1" sqref="B7" xr:uid="{00000000-0002-0000-1500-000000000000}">
      <formula1>$B$26:$B$28</formula1>
    </dataValidation>
    <dataValidation type="list" allowBlank="1" sqref="C7" xr:uid="{00000000-0002-0000-1500-000001000000}">
      <formula1>OFFSET($C$56,1,MATCH($B$7,C56:E56,0)-1,COUNTA(OFFSET($C$56,1,MATCH($B$7, $C$56:$E$56,0)-1,40,1)),1)</formula1>
    </dataValidation>
  </dataValidations>
  <pageMargins left="0.7" right="0.7" top="0.75" bottom="0.75" header="0.3" footer="0.3"/>
  <pageSetup orientation="portrait" r:id="rId1"/>
  <drawing r:id="rId2"/>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tabColor rgb="FFFFC000"/>
  </sheetPr>
  <dimension ref="A1:T37"/>
  <sheetViews>
    <sheetView workbookViewId="0"/>
  </sheetViews>
  <sheetFormatPr defaultRowHeight="14.6"/>
  <cols>
    <col min="3" max="3" width="30.69140625" customWidth="1"/>
    <col min="4" max="4" width="24.69140625" customWidth="1"/>
    <col min="6" max="7" width="16.69140625" customWidth="1"/>
    <col min="8" max="8" width="10.69140625" customWidth="1"/>
    <col min="10" max="10" width="16.69140625" customWidth="1"/>
    <col min="11" max="11" width="10.69140625" customWidth="1"/>
    <col min="12" max="12" width="18" customWidth="1"/>
    <col min="15" max="15" width="17.3828125" customWidth="1"/>
  </cols>
  <sheetData>
    <row r="1" spans="1:11" ht="15" thickBot="1">
      <c r="C1" s="23"/>
      <c r="D1" s="23"/>
    </row>
    <row r="2" spans="1:11" ht="34" customHeight="1" thickTop="1">
      <c r="C2" s="2271" t="str">
        <f>VLOOKUP($C$7,'F2'!C17:G22,5,FALSE)</f>
        <v>Description: 
The vulnerability is of moderate concern, based on the exposure of the vulnerability and ease of exploitation and/or on the severity of impacts that could result from its exploitation. Relevant security control or other remediation is partially implemented and somewhat effective.</v>
      </c>
      <c r="D2" s="2272"/>
    </row>
    <row r="3" spans="1:11" ht="34" customHeight="1">
      <c r="C3" s="2273"/>
      <c r="D3" s="2274"/>
    </row>
    <row r="4" spans="1:11" ht="34" customHeight="1" thickBot="1">
      <c r="C4" s="2304"/>
      <c r="D4" s="2305"/>
    </row>
    <row r="5" spans="1:11" ht="15.45" thickTop="1" thickBot="1">
      <c r="C5" s="2339" t="str">
        <f>IF(SmeRatingF2,"F2_Error: Click for Mean Value or Redo SME Rating","")</f>
        <v>F2_Error: Click for Mean Value or Redo SME Rating</v>
      </c>
      <c r="D5" s="2340"/>
    </row>
    <row r="6" spans="1:11" ht="15.45" thickTop="1" thickBot="1">
      <c r="C6" s="125" t="s">
        <v>893</v>
      </c>
      <c r="D6" s="122" t="s">
        <v>894</v>
      </c>
      <c r="G6" s="593" t="s">
        <v>926</v>
      </c>
      <c r="H6" s="530">
        <f>IF(OR( NOT(Adversarial),('F2'!$C$7='D3'!$C$30)  ),"n/a",VALUE(CONCATENATE("0",IF('F2'!$C$7='F2'!$C$18,3,""),IF('F2'!$C$7='F2'!$C$19,13,""),IF('F2'!$C$7='F2'!$C$20,51,""),IF('F2'!$C$7='F2'!$C$21,88,""),IF('F2'!$C$7='F2'!$C$22,98,""))))</f>
        <v>51</v>
      </c>
      <c r="J6" s="594" t="s">
        <v>928</v>
      </c>
      <c r="K6" s="900">
        <f>IF( (Work!$AP$8='D3'!$C$30),"n/a",VALUE(CONCATENATE("0",IF(Work!$AP$8='D3'!$C$31,3,""),IF(Work!$AP$8='D3'!$C$32,13,""),IF(Work!$AP$8='D3'!$C$33,51,""),IF(Work!$AP$8='D3'!$C$34,88,""),IF(Work!$AP$8='D3'!$C$35,98,""))))</f>
        <v>51</v>
      </c>
    </row>
    <row r="7" spans="1:11" ht="15.45" thickTop="1" thickBot="1">
      <c r="C7" s="126" t="s">
        <v>129</v>
      </c>
      <c r="D7" s="457">
        <v>51</v>
      </c>
      <c r="H7" s="133"/>
      <c r="K7" s="896"/>
    </row>
    <row r="8" spans="1:11" ht="15" thickTop="1"/>
    <row r="9" spans="1:11">
      <c r="A9">
        <v>1</v>
      </c>
      <c r="D9" s="123"/>
    </row>
    <row r="10" spans="1:11">
      <c r="A10">
        <f>1+A9</f>
        <v>2</v>
      </c>
    </row>
    <row r="11" spans="1:11">
      <c r="A11">
        <f t="shared" ref="A11:A24" si="0">1+A10</f>
        <v>3</v>
      </c>
    </row>
    <row r="12" spans="1:11">
      <c r="A12">
        <f t="shared" si="0"/>
        <v>4</v>
      </c>
    </row>
    <row r="13" spans="1:11">
      <c r="A13">
        <f t="shared" si="0"/>
        <v>5</v>
      </c>
    </row>
    <row r="14" spans="1:11">
      <c r="A14">
        <f t="shared" si="0"/>
        <v>6</v>
      </c>
    </row>
    <row r="15" spans="1:11">
      <c r="A15">
        <f t="shared" si="0"/>
        <v>7</v>
      </c>
    </row>
    <row r="16" spans="1:11">
      <c r="A16">
        <f t="shared" si="0"/>
        <v>8</v>
      </c>
    </row>
    <row r="17" spans="1:20">
      <c r="A17">
        <f t="shared" si="0"/>
        <v>9</v>
      </c>
    </row>
    <row r="18" spans="1:20">
      <c r="A18">
        <f t="shared" si="0"/>
        <v>10</v>
      </c>
    </row>
    <row r="19" spans="1:20">
      <c r="A19">
        <f t="shared" si="0"/>
        <v>11</v>
      </c>
    </row>
    <row r="20" spans="1:20">
      <c r="A20">
        <f t="shared" si="0"/>
        <v>12</v>
      </c>
    </row>
    <row r="21" spans="1:20">
      <c r="A21">
        <f t="shared" si="0"/>
        <v>13</v>
      </c>
    </row>
    <row r="22" spans="1:20">
      <c r="A22">
        <f t="shared" si="0"/>
        <v>14</v>
      </c>
    </row>
    <row r="23" spans="1:20">
      <c r="A23">
        <f t="shared" si="0"/>
        <v>15</v>
      </c>
    </row>
    <row r="24" spans="1:20">
      <c r="A24">
        <f t="shared" si="0"/>
        <v>16</v>
      </c>
    </row>
    <row r="25" spans="1:20">
      <c r="A25">
        <f t="shared" ref="A25:A28" si="1">1+A24</f>
        <v>17</v>
      </c>
    </row>
    <row r="26" spans="1:20">
      <c r="A26">
        <f t="shared" si="1"/>
        <v>18</v>
      </c>
    </row>
    <row r="27" spans="1:20">
      <c r="A27">
        <f t="shared" si="1"/>
        <v>19</v>
      </c>
    </row>
    <row r="28" spans="1:20" ht="15" thickBot="1">
      <c r="A28">
        <f t="shared" si="1"/>
        <v>20</v>
      </c>
    </row>
    <row r="29" spans="1:20" ht="15.45" thickTop="1" thickBot="1">
      <c r="C29" s="61" t="s">
        <v>48</v>
      </c>
      <c r="D29" s="62" t="s">
        <v>103</v>
      </c>
      <c r="E29" s="62" t="s">
        <v>104</v>
      </c>
      <c r="F29" s="62" t="s">
        <v>117</v>
      </c>
      <c r="G29" s="55" t="s">
        <v>102</v>
      </c>
      <c r="H29" s="64"/>
      <c r="I29" s="64"/>
      <c r="J29" s="64"/>
      <c r="K29" s="64"/>
      <c r="L29" s="64"/>
      <c r="M29" s="64"/>
      <c r="N29" s="64"/>
      <c r="O29" s="64"/>
      <c r="P29" s="64"/>
      <c r="Q29" s="64"/>
      <c r="R29" s="64"/>
      <c r="S29" s="64"/>
      <c r="T29" s="22"/>
    </row>
    <row r="30" spans="1:20" ht="34" customHeight="1" thickTop="1" thickBot="1">
      <c r="A30" s="23">
        <v>1</v>
      </c>
      <c r="B30" s="38" t="s">
        <v>136</v>
      </c>
      <c r="C30" s="39" t="s">
        <v>181</v>
      </c>
      <c r="D30" s="21">
        <v>-3</v>
      </c>
      <c r="E30" s="21">
        <v>-1</v>
      </c>
      <c r="F30" s="21" t="s">
        <v>408</v>
      </c>
      <c r="G30" s="2292" t="s">
        <v>2087</v>
      </c>
      <c r="H30" s="2301"/>
      <c r="I30" s="2301"/>
      <c r="J30" s="2301"/>
      <c r="K30" s="2301"/>
      <c r="L30" s="2301"/>
      <c r="M30" s="2301"/>
      <c r="N30" s="2301"/>
      <c r="O30" s="2301"/>
      <c r="P30" s="2301"/>
      <c r="Q30" s="2301"/>
      <c r="R30" s="2301"/>
      <c r="S30" s="2301"/>
      <c r="T30" s="2302"/>
    </row>
    <row r="31" spans="1:20" ht="34" customHeight="1" thickTop="1">
      <c r="A31" s="23">
        <f>1+A30</f>
        <v>2</v>
      </c>
      <c r="B31" s="38" t="s">
        <v>137</v>
      </c>
      <c r="C31" s="41" t="s">
        <v>131</v>
      </c>
      <c r="D31" s="583">
        <v>0</v>
      </c>
      <c r="E31" s="583">
        <v>5</v>
      </c>
      <c r="F31" s="583">
        <v>3</v>
      </c>
      <c r="G31" s="2241" t="s">
        <v>2123</v>
      </c>
      <c r="H31" s="2242"/>
      <c r="I31" s="2242"/>
      <c r="J31" s="2242"/>
      <c r="K31" s="2242"/>
      <c r="L31" s="2242"/>
      <c r="M31" s="2242"/>
      <c r="N31" s="2242"/>
      <c r="O31" s="2242"/>
      <c r="P31" s="2242"/>
      <c r="Q31" s="2242"/>
      <c r="R31" s="2242"/>
      <c r="S31" s="2242"/>
      <c r="T31" s="2243"/>
    </row>
    <row r="32" spans="1:20" ht="34" customHeight="1">
      <c r="A32" s="23">
        <f>1+A31</f>
        <v>3</v>
      </c>
      <c r="B32" s="38" t="s">
        <v>138</v>
      </c>
      <c r="C32" s="40" t="s">
        <v>130</v>
      </c>
      <c r="D32" s="20">
        <v>5</v>
      </c>
      <c r="E32" s="20">
        <v>21</v>
      </c>
      <c r="F32" s="20">
        <v>13</v>
      </c>
      <c r="G32" s="2265" t="s">
        <v>2124</v>
      </c>
      <c r="H32" s="2266"/>
      <c r="I32" s="2266"/>
      <c r="J32" s="2266"/>
      <c r="K32" s="2266"/>
      <c r="L32" s="2266"/>
      <c r="M32" s="2266"/>
      <c r="N32" s="2266"/>
      <c r="O32" s="2266"/>
      <c r="P32" s="2266"/>
      <c r="Q32" s="2266"/>
      <c r="R32" s="2266"/>
      <c r="S32" s="2266"/>
      <c r="T32" s="2267"/>
    </row>
    <row r="33" spans="1:20" ht="34" customHeight="1">
      <c r="A33" s="23">
        <f>1+A32</f>
        <v>4</v>
      </c>
      <c r="B33" s="38" t="s">
        <v>139</v>
      </c>
      <c r="C33" s="41" t="s">
        <v>129</v>
      </c>
      <c r="D33" s="583">
        <v>21</v>
      </c>
      <c r="E33" s="583">
        <v>80</v>
      </c>
      <c r="F33" s="583">
        <v>51</v>
      </c>
      <c r="G33" s="1868" t="s">
        <v>892</v>
      </c>
      <c r="H33" s="1832"/>
      <c r="I33" s="1832"/>
      <c r="J33" s="1832"/>
      <c r="K33" s="1832"/>
      <c r="L33" s="1832"/>
      <c r="M33" s="1832"/>
      <c r="N33" s="1832"/>
      <c r="O33" s="1832"/>
      <c r="P33" s="1832"/>
      <c r="Q33" s="1832"/>
      <c r="R33" s="1832"/>
      <c r="S33" s="1832"/>
      <c r="T33" s="1833"/>
    </row>
    <row r="34" spans="1:20" ht="34" customHeight="1" thickBot="1">
      <c r="A34" s="23">
        <f>1+A33</f>
        <v>5</v>
      </c>
      <c r="B34" s="38" t="s">
        <v>140</v>
      </c>
      <c r="C34" s="40" t="s">
        <v>128</v>
      </c>
      <c r="D34" s="20">
        <v>80</v>
      </c>
      <c r="E34" s="20">
        <v>96</v>
      </c>
      <c r="F34" s="20">
        <v>88</v>
      </c>
      <c r="G34" s="2265" t="s">
        <v>2125</v>
      </c>
      <c r="H34" s="2266"/>
      <c r="I34" s="2266"/>
      <c r="J34" s="2266"/>
      <c r="K34" s="2266"/>
      <c r="L34" s="2266"/>
      <c r="M34" s="2266"/>
      <c r="N34" s="2266"/>
      <c r="O34" s="2266"/>
      <c r="P34" s="2266"/>
      <c r="Q34" s="2266"/>
      <c r="R34" s="2266"/>
      <c r="S34" s="2266"/>
      <c r="T34" s="2267"/>
    </row>
    <row r="35" spans="1:20" ht="34" customHeight="1" thickTop="1" thickBot="1">
      <c r="A35" s="23">
        <f>1+A34</f>
        <v>6</v>
      </c>
      <c r="B35" s="38" t="s">
        <v>141</v>
      </c>
      <c r="C35" s="582" t="s">
        <v>145</v>
      </c>
      <c r="D35" s="584">
        <v>96</v>
      </c>
      <c r="E35" s="584">
        <v>100</v>
      </c>
      <c r="F35" s="584">
        <v>98</v>
      </c>
      <c r="G35" s="1831" t="s">
        <v>2126</v>
      </c>
      <c r="H35" s="1834"/>
      <c r="I35" s="1834"/>
      <c r="J35" s="1834"/>
      <c r="K35" s="1834"/>
      <c r="L35" s="1834"/>
      <c r="M35" s="1834"/>
      <c r="N35" s="1834"/>
      <c r="O35" s="1834"/>
      <c r="P35" s="1834"/>
      <c r="Q35" s="1834"/>
      <c r="R35" s="1834"/>
      <c r="S35" s="1834"/>
      <c r="T35" s="1835"/>
    </row>
    <row r="36" spans="1:20" ht="48.75" customHeight="1" thickTop="1" thickBot="1">
      <c r="C36" s="11" t="s">
        <v>2092</v>
      </c>
      <c r="D36" s="11"/>
      <c r="E36" s="11"/>
      <c r="F36" s="896" t="s">
        <v>408</v>
      </c>
      <c r="G36" s="2336" t="s">
        <v>2131</v>
      </c>
      <c r="H36" s="2344"/>
      <c r="I36" s="2344"/>
      <c r="J36" s="2344"/>
      <c r="K36" s="2344"/>
      <c r="L36" s="2344"/>
      <c r="M36" s="2344"/>
      <c r="N36" s="2344"/>
      <c r="O36" s="2344"/>
      <c r="P36" s="2344"/>
      <c r="Q36" s="2344"/>
      <c r="R36" s="2344"/>
      <c r="S36" s="2344"/>
      <c r="T36" s="2345"/>
    </row>
    <row r="37" spans="1:20" ht="15" thickTop="1"/>
  </sheetData>
  <mergeCells count="7">
    <mergeCell ref="C2:D4"/>
    <mergeCell ref="C5:D5"/>
    <mergeCell ref="G30:T30"/>
    <mergeCell ref="G31:T31"/>
    <mergeCell ref="G36:T36"/>
    <mergeCell ref="G34:T34"/>
    <mergeCell ref="G32:T32"/>
  </mergeCells>
  <conditionalFormatting sqref="C5">
    <cfRule type="expression" dxfId="112" priority="2">
      <formula>SmeRatingD3</formula>
    </cfRule>
  </conditionalFormatting>
  <conditionalFormatting sqref="D6">
    <cfRule type="expression" dxfId="111" priority="8">
      <formula>SmeRatingF2</formula>
    </cfRule>
  </conditionalFormatting>
  <conditionalFormatting sqref="C7">
    <cfRule type="containsText" dxfId="110" priority="3" operator="containsText" text="(Very Low)">
      <formula>NOT(ISERROR(SEARCH("(Very Low)",C7)))</formula>
    </cfRule>
    <cfRule type="containsText" dxfId="109" priority="4" operator="containsText" text="(Low)">
      <formula>NOT(ISERROR(SEARCH("(Low)",C7)))</formula>
    </cfRule>
    <cfRule type="containsText" dxfId="108" priority="5" operator="containsText" text="Moderate">
      <formula>NOT(ISERROR(SEARCH("Moderate",C7)))</formula>
    </cfRule>
    <cfRule type="containsText" dxfId="107" priority="6" operator="containsText" text="(High)">
      <formula>NOT(ISERROR(SEARCH("(High)",C7)))</formula>
    </cfRule>
    <cfRule type="containsText" dxfId="106" priority="7" operator="containsText" text="(Very High)">
      <formula>NOT(ISERROR(SEARCH("(Very High)",C7)))</formula>
    </cfRule>
  </conditionalFormatting>
  <conditionalFormatting sqref="C2:D6">
    <cfRule type="expression" dxfId="105" priority="1">
      <formula>NOT(Adversarial)</formula>
    </cfRule>
  </conditionalFormatting>
  <dataValidations count="2">
    <dataValidation type="list" allowBlank="1" showErrorMessage="1" sqref="C7" xr:uid="{00000000-0002-0000-1600-000000000000}">
      <formula1>C30:C35</formula1>
    </dataValidation>
    <dataValidation type="list" allowBlank="1" sqref="D7" xr:uid="{00000000-0002-0000-1600-000001000000}">
      <formula1>H6</formula1>
    </dataValidation>
  </dataValidations>
  <pageMargins left="0.7" right="0.7" top="0.75" bottom="0.75" header="0.3" footer="0.3"/>
  <pageSetup orientation="portrait" verticalDpi="0" r:id="rId1"/>
  <drawing r:id="rId2"/>
  <legacyDrawing r:id="rId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rgb="FFFFC000"/>
  </sheetPr>
  <dimension ref="D1:S129"/>
  <sheetViews>
    <sheetView topLeftCell="E1" workbookViewId="0"/>
  </sheetViews>
  <sheetFormatPr defaultRowHeight="14.6"/>
  <cols>
    <col min="3" max="3" width="75.3828125" customWidth="1"/>
    <col min="4" max="5" width="26.69140625" customWidth="1"/>
    <col min="6" max="6" width="20.69140625" customWidth="1"/>
    <col min="7" max="8" width="30.53515625" customWidth="1"/>
    <col min="9" max="11" width="26.69140625" customWidth="1"/>
    <col min="12" max="12" width="32.69140625" customWidth="1"/>
    <col min="13" max="13" width="30.69140625" customWidth="1"/>
    <col min="14" max="14" width="32.69140625" customWidth="1"/>
    <col min="15" max="17" width="26.69140625" customWidth="1"/>
    <col min="18" max="19" width="24.69140625" customWidth="1"/>
  </cols>
  <sheetData>
    <row r="1" spans="4:18" ht="15" thickBot="1"/>
    <row r="2" spans="4:18" ht="15.75" customHeight="1" thickTop="1">
      <c r="D2" s="2352" t="s">
        <v>1444</v>
      </c>
      <c r="E2" s="2353"/>
      <c r="F2" s="2353"/>
      <c r="G2" s="2353"/>
      <c r="H2" s="2353"/>
      <c r="I2" s="2353"/>
      <c r="J2" s="2353"/>
      <c r="K2" s="2353"/>
      <c r="L2" s="2353"/>
      <c r="M2" s="2353"/>
      <c r="N2" s="2353"/>
      <c r="O2" s="2353"/>
      <c r="P2" s="2353"/>
      <c r="Q2" s="75"/>
    </row>
    <row r="3" spans="4:18" ht="15" thickBot="1">
      <c r="D3" s="2354"/>
      <c r="E3" s="2355"/>
      <c r="F3" s="2355"/>
      <c r="G3" s="2355"/>
      <c r="H3" s="2355"/>
      <c r="I3" s="2355"/>
      <c r="J3" s="2355"/>
      <c r="K3" s="2355"/>
      <c r="L3" s="2355"/>
      <c r="M3" s="2355"/>
      <c r="N3" s="2355"/>
      <c r="O3" s="2355"/>
      <c r="P3" s="2355"/>
      <c r="Q3" s="75"/>
    </row>
    <row r="4" spans="4:18" ht="19.3" thickTop="1" thickBot="1">
      <c r="D4" s="1137"/>
      <c r="E4" s="31"/>
      <c r="F4" s="1907" t="s">
        <v>2058</v>
      </c>
      <c r="G4" s="1903"/>
      <c r="I4" s="31"/>
      <c r="J4" s="1901"/>
      <c r="K4" s="1901"/>
      <c r="L4" s="1901"/>
      <c r="M4" s="31"/>
      <c r="N4" s="2384" t="s">
        <v>1745</v>
      </c>
      <c r="O4" s="2385"/>
      <c r="P4" s="31"/>
      <c r="Q4" s="1900"/>
      <c r="R4" s="1945"/>
    </row>
    <row r="5" spans="4:18" ht="21.45" thickTop="1" thickBot="1">
      <c r="D5" s="1164" t="s">
        <v>1447</v>
      </c>
      <c r="F5" s="1941" t="s">
        <v>1445</v>
      </c>
      <c r="G5" s="1169">
        <f>Settings!CP6</f>
        <v>57.5</v>
      </c>
      <c r="H5" s="1134" t="s">
        <v>1449</v>
      </c>
      <c r="I5" s="1168" t="str">
        <f>CONCATENATE(IF(AND(IF(G$5&gt;=0,1,0),IF(G$5&lt;5,1,0)),"Very Low",""),IF(AND(IF(G$5&gt;=5,1,0),IF(G$5&lt;21,1,0)),"Low",""),IF(AND(IF(G$5&gt;=21,1,0),IF(G$5&lt;80,1,0)),"Moderate",""),IF(AND(IF(G$5&gt;=80,1,0),IF(G$5&lt;96,1,0)),"High",""),IF(AND(IF(G$5&gt;=96,1,0),IF(G$5&lt;100,1,0)),"Very High",""))</f>
        <v>Moderate</v>
      </c>
      <c r="J5" s="1942"/>
      <c r="M5" s="1943" t="s">
        <v>1446</v>
      </c>
      <c r="N5" s="1612">
        <f>Work!BB8</f>
        <v>88</v>
      </c>
      <c r="O5" s="1134" t="s">
        <v>1449</v>
      </c>
      <c r="P5" s="1168" t="str">
        <f>CONCATENATE(IF(AND(IF(N$5&gt;=0,1,0),IF(N$5&lt;5,1,0)),"Very Low",""),IF(AND(IF(N$5&gt;=5,1,0),IF(N$5&lt;21,1,0)),"Low",""),IF(AND(IF(N$5&gt;=21,1,0),IF(N$5&lt;80,1,0)),"Moderate",""),IF(AND(IF(N$5&gt;=80,1,0),IF(N$5&lt;96,1,0)),"High",""),IF(AND(IF(N$5&gt;=96,1,0),IF(N$5&lt;100,1,0)),"Very High",""))</f>
        <v>High</v>
      </c>
      <c r="Q5" s="75"/>
      <c r="R5" s="1935"/>
    </row>
    <row r="6" spans="4:18" ht="21.45" thickTop="1" thickBot="1">
      <c r="D6" s="75"/>
      <c r="E6" s="1134"/>
      <c r="F6" s="1134"/>
      <c r="G6" s="1047"/>
      <c r="H6" s="1939"/>
      <c r="J6" s="1047"/>
      <c r="M6" s="1047"/>
      <c r="N6" s="1604"/>
      <c r="O6" s="31"/>
      <c r="P6" s="31"/>
      <c r="Q6" s="1138"/>
      <c r="R6" s="1945"/>
    </row>
    <row r="7" spans="4:18" ht="21.45" thickTop="1" thickBot="1">
      <c r="D7" s="75"/>
      <c r="E7" s="1134"/>
      <c r="F7" s="1134"/>
      <c r="J7" s="1610" t="s">
        <v>1746</v>
      </c>
      <c r="L7" s="31"/>
      <c r="M7" s="1610" t="s">
        <v>1747</v>
      </c>
      <c r="N7" s="1609" t="s">
        <v>1748</v>
      </c>
      <c r="Q7" s="1138"/>
      <c r="R7" s="1945"/>
    </row>
    <row r="8" spans="4:18" ht="23.6" thickTop="1">
      <c r="D8" s="1164" t="s">
        <v>1448</v>
      </c>
      <c r="I8" s="1134" t="s">
        <v>1491</v>
      </c>
      <c r="J8" s="1611" t="str">
        <f>VLOOKUP($I$5,$H$92:$N$101,  HLOOKUP($P$5,$H$92:$N$101,2,FALSE)+1,  FALSE)</f>
        <v>Moderate</v>
      </c>
      <c r="L8" s="1134" t="s">
        <v>1490</v>
      </c>
      <c r="M8" s="1606">
        <f>P58</f>
        <v>69.400000000000006</v>
      </c>
      <c r="N8" s="1608" t="str">
        <f>P57</f>
        <v>Moderate</v>
      </c>
      <c r="Q8" s="75"/>
      <c r="R8" s="1935"/>
    </row>
    <row r="9" spans="4:18" ht="21" thickBot="1">
      <c r="D9" s="1138"/>
      <c r="E9" s="1047"/>
      <c r="F9" s="1047"/>
      <c r="I9" s="1047"/>
      <c r="J9" s="1605" t="str">
        <f>J8</f>
        <v>Moderate</v>
      </c>
      <c r="L9" s="1134"/>
      <c r="M9" s="1605">
        <f>M8</f>
        <v>69.400000000000006</v>
      </c>
      <c r="N9" s="1802" t="str">
        <f>N8</f>
        <v>Moderate</v>
      </c>
      <c r="Q9" s="1138"/>
      <c r="R9" s="1945"/>
    </row>
    <row r="10" spans="4:18" ht="21" thickTop="1">
      <c r="D10" s="1138"/>
      <c r="E10" s="1047"/>
      <c r="F10" s="1047"/>
      <c r="G10" s="1047"/>
      <c r="I10" s="1939"/>
      <c r="J10" s="1047"/>
      <c r="L10" s="23">
        <v>1</v>
      </c>
      <c r="M10" s="1901"/>
      <c r="N10" s="1134"/>
      <c r="O10" s="1939"/>
      <c r="P10" s="1940"/>
      <c r="Q10" s="1138"/>
      <c r="R10" s="1945"/>
    </row>
    <row r="11" spans="4:18" ht="20.6">
      <c r="D11" s="1138"/>
      <c r="E11" s="1047"/>
      <c r="F11" s="1047"/>
      <c r="G11" s="1047"/>
      <c r="I11" s="23"/>
      <c r="L11" s="23">
        <f>1+L10</f>
        <v>2</v>
      </c>
      <c r="M11" s="1939"/>
      <c r="N11" s="1940"/>
      <c r="O11" s="1944"/>
      <c r="P11" s="1902"/>
      <c r="Q11" s="75"/>
    </row>
    <row r="12" spans="4:18" ht="20.6">
      <c r="D12" s="1138"/>
      <c r="E12" s="1047"/>
      <c r="F12" s="1047"/>
      <c r="G12" s="1047"/>
      <c r="I12" s="23"/>
      <c r="L12" s="23">
        <f t="shared" ref="L12:L29" si="0">1+L11</f>
        <v>3</v>
      </c>
      <c r="M12" s="1939"/>
      <c r="N12" s="1940"/>
      <c r="O12" s="1944"/>
      <c r="P12" s="1902"/>
      <c r="Q12" s="75"/>
    </row>
    <row r="13" spans="4:18" ht="20.6">
      <c r="D13" s="1138"/>
      <c r="E13" s="1047"/>
      <c r="F13" s="1047"/>
      <c r="G13" s="1047"/>
      <c r="I13" s="23"/>
      <c r="L13" s="23">
        <f t="shared" si="0"/>
        <v>4</v>
      </c>
      <c r="M13" s="1939"/>
      <c r="N13" s="1940"/>
      <c r="O13" s="1944"/>
      <c r="P13" s="1945"/>
      <c r="Q13" s="75"/>
    </row>
    <row r="14" spans="4:18" ht="20.6">
      <c r="D14" s="1138"/>
      <c r="E14" s="1047"/>
      <c r="F14" s="1047"/>
      <c r="G14" s="1047"/>
      <c r="I14" s="23"/>
      <c r="L14" s="23">
        <f t="shared" si="0"/>
        <v>5</v>
      </c>
      <c r="M14" s="1939"/>
      <c r="N14" s="1940"/>
      <c r="O14" s="1944"/>
      <c r="P14" s="1945"/>
      <c r="Q14" s="75"/>
    </row>
    <row r="15" spans="4:18" ht="20.6">
      <c r="D15" s="1138"/>
      <c r="E15" s="1047"/>
      <c r="F15" s="1047"/>
      <c r="G15" s="1047"/>
      <c r="I15" s="23"/>
      <c r="L15" s="23">
        <f t="shared" si="0"/>
        <v>6</v>
      </c>
      <c r="M15" s="1939"/>
      <c r="N15" s="1940"/>
      <c r="O15" s="1944"/>
      <c r="P15" s="1945"/>
      <c r="Q15" s="75"/>
    </row>
    <row r="16" spans="4:18" ht="20.6">
      <c r="D16" s="1138"/>
      <c r="E16" s="1047"/>
      <c r="F16" s="1047"/>
      <c r="G16" s="1047"/>
      <c r="I16" s="23"/>
      <c r="L16" s="23">
        <f t="shared" si="0"/>
        <v>7</v>
      </c>
      <c r="M16" s="1939"/>
      <c r="N16" s="1940"/>
      <c r="O16" s="1944"/>
      <c r="P16" s="1945"/>
      <c r="Q16" s="75"/>
    </row>
    <row r="17" spans="4:18" ht="20.6">
      <c r="D17" s="1138"/>
      <c r="E17" s="1047"/>
      <c r="F17" s="1047"/>
      <c r="G17" s="1047"/>
      <c r="I17" s="23"/>
      <c r="L17" s="23">
        <f t="shared" si="0"/>
        <v>8</v>
      </c>
      <c r="M17" s="1939"/>
      <c r="N17" s="1940"/>
      <c r="O17" s="1944"/>
      <c r="P17" s="1945"/>
      <c r="Q17" s="75"/>
    </row>
    <row r="18" spans="4:18" ht="20.6">
      <c r="D18" s="1138"/>
      <c r="E18" s="1047"/>
      <c r="F18" s="1047"/>
      <c r="G18" s="1047"/>
      <c r="I18" s="23"/>
      <c r="L18" s="23">
        <f t="shared" si="0"/>
        <v>9</v>
      </c>
      <c r="M18" s="1939"/>
      <c r="N18" s="1940"/>
      <c r="O18" s="1944"/>
      <c r="P18" s="1945"/>
      <c r="Q18" s="75"/>
    </row>
    <row r="19" spans="4:18" ht="20.6">
      <c r="D19" s="1138"/>
      <c r="E19" s="1047"/>
      <c r="F19" s="1047"/>
      <c r="G19" s="1047"/>
      <c r="I19" s="23"/>
      <c r="L19" s="23">
        <f t="shared" si="0"/>
        <v>10</v>
      </c>
      <c r="M19" s="1939"/>
      <c r="N19" s="1940"/>
      <c r="O19" s="1944"/>
      <c r="P19" s="1945"/>
      <c r="Q19" s="75"/>
    </row>
    <row r="20" spans="4:18" ht="20.6">
      <c r="D20" s="1138"/>
      <c r="E20" s="1047"/>
      <c r="F20" s="1047"/>
      <c r="G20" s="1047"/>
      <c r="I20" s="23"/>
      <c r="L20" s="23">
        <f t="shared" si="0"/>
        <v>11</v>
      </c>
      <c r="M20" s="1939"/>
      <c r="N20" s="1940"/>
      <c r="O20" s="1944"/>
      <c r="P20" s="1945"/>
      <c r="Q20" s="75"/>
    </row>
    <row r="21" spans="4:18" ht="20.6">
      <c r="D21" s="1138"/>
      <c r="E21" s="1047"/>
      <c r="F21" s="1047"/>
      <c r="G21" s="1047"/>
      <c r="I21" s="23"/>
      <c r="L21" s="23">
        <f t="shared" si="0"/>
        <v>12</v>
      </c>
      <c r="M21" s="1939"/>
      <c r="N21" s="1940"/>
      <c r="O21" s="1944"/>
      <c r="P21" s="1945"/>
      <c r="Q21" s="75"/>
    </row>
    <row r="22" spans="4:18" ht="20.6">
      <c r="D22" s="1138"/>
      <c r="E22" s="1047"/>
      <c r="F22" s="1047"/>
      <c r="G22" s="1047"/>
      <c r="I22" s="23"/>
      <c r="L22" s="23">
        <f t="shared" si="0"/>
        <v>13</v>
      </c>
      <c r="M22" s="1939"/>
      <c r="N22" s="1940"/>
      <c r="O22" s="1944"/>
      <c r="P22" s="1945"/>
      <c r="Q22" s="75"/>
    </row>
    <row r="23" spans="4:18" ht="20.6">
      <c r="D23" s="1138"/>
      <c r="E23" s="1047"/>
      <c r="F23" s="1047"/>
      <c r="G23" s="1047"/>
      <c r="I23" s="23"/>
      <c r="L23" s="23">
        <f t="shared" si="0"/>
        <v>14</v>
      </c>
      <c r="M23" s="1134"/>
      <c r="N23" s="1939"/>
      <c r="O23" s="1940"/>
      <c r="P23" s="1944"/>
      <c r="Q23" s="1900"/>
    </row>
    <row r="24" spans="4:18" ht="20.6">
      <c r="D24" s="1138"/>
      <c r="E24" s="1047"/>
      <c r="F24" s="1047"/>
      <c r="G24" s="1047"/>
      <c r="I24" s="23"/>
      <c r="J24" s="1047"/>
      <c r="K24" s="1047"/>
      <c r="L24" s="23">
        <f t="shared" si="0"/>
        <v>15</v>
      </c>
      <c r="M24" s="1134"/>
      <c r="N24" s="1939"/>
      <c r="O24" s="1940"/>
      <c r="P24" s="1140"/>
      <c r="Q24" s="1901"/>
    </row>
    <row r="25" spans="4:18" ht="20.6">
      <c r="D25" s="1138"/>
      <c r="E25" s="1047"/>
      <c r="F25" s="1047"/>
      <c r="G25" s="1047"/>
      <c r="I25" s="23"/>
      <c r="J25" s="1047"/>
      <c r="K25" s="1047"/>
      <c r="L25" s="23">
        <f t="shared" si="0"/>
        <v>16</v>
      </c>
      <c r="M25" s="1134"/>
      <c r="N25" s="1939"/>
      <c r="O25" s="1940"/>
      <c r="P25" s="1140"/>
      <c r="Q25" s="1901"/>
    </row>
    <row r="26" spans="4:18" ht="20.6">
      <c r="D26" s="1138"/>
      <c r="E26" s="1047"/>
      <c r="F26" s="1047"/>
      <c r="G26" s="1047"/>
      <c r="I26" s="23"/>
      <c r="J26" s="1047"/>
      <c r="K26" s="1047"/>
      <c r="L26" s="23">
        <f t="shared" si="0"/>
        <v>17</v>
      </c>
      <c r="M26" s="1134"/>
      <c r="N26" s="1939"/>
      <c r="O26" s="1940"/>
      <c r="P26" s="1140"/>
      <c r="Q26" s="1901"/>
    </row>
    <row r="27" spans="4:18" ht="20.6">
      <c r="D27" s="1138"/>
      <c r="E27" s="1047"/>
      <c r="F27" s="1047"/>
      <c r="G27" s="1047"/>
      <c r="I27" s="23"/>
      <c r="J27" s="1047"/>
      <c r="K27" s="1047"/>
      <c r="L27" s="23">
        <f t="shared" si="0"/>
        <v>18</v>
      </c>
      <c r="M27" s="1134"/>
      <c r="N27" s="1939"/>
      <c r="O27" s="1940"/>
      <c r="P27" s="1140"/>
      <c r="Q27" s="1901"/>
    </row>
    <row r="28" spans="4:18" ht="20.6">
      <c r="D28" s="1138"/>
      <c r="E28" s="1047"/>
      <c r="F28" s="1047"/>
      <c r="G28" s="1047"/>
      <c r="I28" s="23"/>
      <c r="J28" s="1047"/>
      <c r="K28" s="1047"/>
      <c r="L28" s="23">
        <f t="shared" si="0"/>
        <v>19</v>
      </c>
      <c r="M28" s="1134"/>
      <c r="N28" s="1939"/>
      <c r="O28" s="1940"/>
      <c r="P28" s="1140"/>
      <c r="Q28" s="1901"/>
    </row>
    <row r="29" spans="4:18" ht="15" thickBot="1">
      <c r="D29" s="92"/>
      <c r="I29" s="23"/>
      <c r="L29" s="23">
        <f t="shared" si="0"/>
        <v>20</v>
      </c>
      <c r="P29" s="807"/>
    </row>
    <row r="30" spans="4:18" ht="19.3" thickTop="1" thickBot="1">
      <c r="D30" s="2356" t="s">
        <v>1442</v>
      </c>
      <c r="E30" s="2357"/>
      <c r="F30" s="2357"/>
      <c r="G30" s="2358"/>
      <c r="H30" s="2362" t="s">
        <v>1443</v>
      </c>
      <c r="I30" s="2363"/>
      <c r="J30" s="2363"/>
      <c r="K30" s="2363"/>
      <c r="L30" s="2363"/>
      <c r="M30" s="2363"/>
      <c r="N30" s="2363"/>
      <c r="O30" s="2363"/>
      <c r="P30" s="2364"/>
    </row>
    <row r="31" spans="4:18" ht="16.5" customHeight="1" thickTop="1" thickBot="1">
      <c r="D31" s="2359"/>
      <c r="E31" s="2360"/>
      <c r="F31" s="2360"/>
      <c r="G31" s="2361"/>
      <c r="H31" s="1132" t="s">
        <v>1431</v>
      </c>
      <c r="J31" s="1040" t="s">
        <v>1432</v>
      </c>
      <c r="L31" s="1042" t="s">
        <v>1433</v>
      </c>
      <c r="N31" s="1133" t="s">
        <v>1434</v>
      </c>
      <c r="P31" s="1041" t="s">
        <v>1435</v>
      </c>
    </row>
    <row r="32" spans="4:18" ht="16.5" customHeight="1" thickTop="1" thickBot="1">
      <c r="D32" s="1205"/>
      <c r="E32" s="1207" t="s">
        <v>1450</v>
      </c>
      <c r="F32" s="1216">
        <v>0</v>
      </c>
      <c r="G32" s="1192"/>
      <c r="H32" s="1193" t="s">
        <v>348</v>
      </c>
      <c r="I32" s="1194">
        <v>5</v>
      </c>
      <c r="J32" s="1195" t="s">
        <v>238</v>
      </c>
      <c r="K32" s="1194">
        <v>21</v>
      </c>
      <c r="L32" s="1196" t="s">
        <v>260</v>
      </c>
      <c r="M32" s="1194">
        <v>80</v>
      </c>
      <c r="N32" s="1197" t="s">
        <v>261</v>
      </c>
      <c r="O32" s="1194">
        <v>96</v>
      </c>
      <c r="P32" s="1198" t="s">
        <v>235</v>
      </c>
      <c r="Q32" s="1174"/>
      <c r="R32" s="1190" t="s">
        <v>1463</v>
      </c>
    </row>
    <row r="33" spans="4:19" ht="16.5" customHeight="1" thickTop="1" thickBot="1">
      <c r="D33" s="1206"/>
      <c r="E33" s="1207"/>
      <c r="F33" s="1216">
        <v>1</v>
      </c>
      <c r="G33" s="1204">
        <v>2</v>
      </c>
      <c r="H33" s="1203">
        <v>3</v>
      </c>
      <c r="I33" s="524">
        <v>4</v>
      </c>
      <c r="J33" s="1202">
        <v>5</v>
      </c>
      <c r="K33" s="524">
        <v>6</v>
      </c>
      <c r="L33" s="1201">
        <v>7</v>
      </c>
      <c r="M33" s="524">
        <v>8</v>
      </c>
      <c r="N33" s="1200">
        <v>9</v>
      </c>
      <c r="O33" s="524">
        <v>10</v>
      </c>
      <c r="P33" s="1199">
        <v>11</v>
      </c>
      <c r="Q33" s="23">
        <v>12</v>
      </c>
      <c r="R33" s="1190">
        <v>1</v>
      </c>
    </row>
    <row r="34" spans="4:19" ht="21.45" thickTop="1" thickBot="1">
      <c r="D34" s="1191"/>
      <c r="E34" s="1208"/>
      <c r="F34" s="1210">
        <v>2</v>
      </c>
      <c r="G34" s="1217"/>
      <c r="H34" s="1129" t="str">
        <f>CONCATENATE(IF(AND(IF(H35&gt;=0,1,0),IF(H35&lt;5,1,0)),5,""),IF(AND(IF(H35&gt;=5,1,0),IF(H35&lt;21,1,0)),21,""),IF(AND(IF(H35&gt;=21,1,0),IF(H35&lt;80,1,0)),80,""),IF(AND(IF(H35&gt;=80,1,0),IF(H35&lt;96,1,0)),96,""),IF(AND(IF(H35&gt;=96,1,0),IF(H35&lt;=100,1,0)),100,""))</f>
        <v>21</v>
      </c>
      <c r="I34" s="1115"/>
      <c r="J34" s="1129" t="str">
        <f>CONCATENATE(IF(AND(IF(J35&gt;=0,1,0),IF(J35&lt;5,1,0)),5,""),IF(AND(IF(J35&gt;=5,1,0),IF(J35&lt;21,1,0)),21,""),IF(AND(IF(J35&gt;=21,1,0),IF(J35&lt;80,1,0)),80,""),IF(AND(IF(J35&gt;=80,1,0),IF(J35&lt;96,1,0)),96,""),IF(AND(IF(J35&gt;=96,1,0),IF(J35&lt;=100,1,0)),100,""))</f>
        <v>80</v>
      </c>
      <c r="K34" s="1115"/>
      <c r="L34" s="1129" t="str">
        <f>CONCATENATE(IF(AND(IF(L35&gt;=0,1,0),IF(L35&lt;5,1,0)),5,""),IF(AND(IF(L35&gt;=5,1,0),IF(L35&lt;21,1,0)),21,""),IF(AND(IF(L35&gt;=21,1,0),IF(L35&lt;80,1,0)),80,""),IF(AND(IF(L35&gt;=80,1,0),IF(L35&lt;96,1,0)),96,""),IF(AND(IF(L35&gt;=96,1,0),IF(L35&lt;=100,1,0)),100,""))</f>
        <v>96</v>
      </c>
      <c r="M34" s="1115"/>
      <c r="N34" s="1129" t="str">
        <f>CONCATENATE(IF(AND(IF(N35&gt;=0,1,0),IF(N35&lt;5,1,0)),5,""),IF(AND(IF(N35&gt;=5,1,0),IF(N35&lt;21,1,0)),21,""),IF(AND(IF(N35&gt;=21,1,0),IF(N35&lt;80,1,0)),80,""),IF(AND(IF(N35&gt;=80,1,0),IF(N35&lt;96,1,0)),96,""),IF(AND(IF(N35&gt;=96,1,0),IF(N35&lt;=100,1,0)),100,""))</f>
        <v>100</v>
      </c>
      <c r="O34" s="1115"/>
      <c r="P34" s="1129" t="str">
        <f>CONCATENATE(IF(AND(IF(P35&gt;=0,1,0),IF(P35&lt;5,1,0)),5,""),IF(AND(IF(P35&gt;=5,1,0),IF(P35&lt;21,1,0)),21,""),IF(AND(IF(P35&gt;=21,1,0),IF(P35&lt;80,1,0)),80,""),IF(AND(IF(P35&gt;=80,1,0),IF(P35&lt;96,1,0)),96,""),IF(AND(IF(P35&gt;=96,1,0),IF(P35&lt;=100,1,0)),100,""))</f>
        <v>100</v>
      </c>
      <c r="Q34" s="1072"/>
      <c r="R34" s="1190">
        <v>2</v>
      </c>
    </row>
    <row r="35" spans="4:19" ht="19.3" thickTop="1" thickBot="1">
      <c r="D35" s="1145" t="s">
        <v>1435</v>
      </c>
      <c r="E35" s="1046" t="s">
        <v>235</v>
      </c>
      <c r="F35" s="1211">
        <v>3</v>
      </c>
      <c r="G35" s="1126" t="str">
        <f>CONCATENATE(IF(AND(IF(H35&gt;=0,1,0),IF(H35&lt;5,1,0)),0,""),IF(AND(IF(H35&gt;=5,1,0),IF(H35&lt;21,1,0)),5,""),IF(AND(IF(H35&gt;=21,1,0),IF(H35&lt;80,1,0)),21,""),IF(AND(IF(H35&gt;=80,1,0),IF(H35&lt;96,1,0)),80,""),IF(AND(IF(H35&gt;=96,1,0),IF(H35&lt;100,1,0)),96,""))</f>
        <v>5</v>
      </c>
      <c r="H35" s="1083">
        <v>18</v>
      </c>
      <c r="I35" s="1099">
        <v>42.5</v>
      </c>
      <c r="J35" s="573">
        <v>67</v>
      </c>
      <c r="K35" s="1103">
        <v>77.5</v>
      </c>
      <c r="L35" s="685">
        <v>88</v>
      </c>
      <c r="M35" s="1105">
        <v>92.5</v>
      </c>
      <c r="N35" s="686">
        <v>97</v>
      </c>
      <c r="O35" s="1107">
        <v>97.5</v>
      </c>
      <c r="P35" s="687">
        <v>98</v>
      </c>
      <c r="Q35" s="1131" t="str">
        <f>CONCATENATE(IF(AND(IF(P35&gt;=0,1,0),IF(P35&lt;5,1,0)),5,""),IF(AND(IF(P35&gt;=5,1,0),IF(P35&lt;21,1,0)),21,""),IF(AND(IF(P35&gt;=21,1,0),IF(P35&lt;80,1,0)),80,""),IF(AND(IF(P35&gt;=80,1,0),IF(P35&lt;96,1,0)),96,""),IF(AND(IF(P35&gt;=96,1,0),IF(P35&lt;100,1,0)),100,""))</f>
        <v>100</v>
      </c>
      <c r="R35" s="1190">
        <v>3</v>
      </c>
    </row>
    <row r="36" spans="4:19" ht="16.75" thickTop="1" thickBot="1">
      <c r="D36" s="110"/>
      <c r="E36" s="11"/>
      <c r="F36" s="1210">
        <v>4</v>
      </c>
      <c r="G36" s="1127"/>
      <c r="H36" s="944">
        <f>AVERAGE(H35,H37)</f>
        <v>16.5</v>
      </c>
      <c r="I36" s="937"/>
      <c r="J36" s="944">
        <f>AVERAGE(J35,J37)</f>
        <v>59</v>
      </c>
      <c r="K36" s="934"/>
      <c r="L36" s="944">
        <f>AVERAGE(L35,L37)</f>
        <v>77.5</v>
      </c>
      <c r="M36" s="951"/>
      <c r="N36" s="944">
        <f>AVERAGE(N35,N37)</f>
        <v>92.5</v>
      </c>
      <c r="O36" s="953"/>
      <c r="P36" s="944">
        <f>AVERAGE(P35,P37)</f>
        <v>97.5</v>
      </c>
      <c r="Q36" s="1130"/>
      <c r="R36" s="1190">
        <v>4</v>
      </c>
    </row>
    <row r="37" spans="4:19" ht="16.75" thickTop="1" thickBot="1">
      <c r="D37" s="1144" t="s">
        <v>1434</v>
      </c>
      <c r="E37" s="1119" t="s">
        <v>261</v>
      </c>
      <c r="F37" s="1212">
        <v>5</v>
      </c>
      <c r="G37" s="1126" t="str">
        <f>CONCATENATE(IF(AND(IF(H37&gt;=0,1,0),IF(H37&lt;5,1,0)),0,""),IF(AND(IF(H37&gt;=5,1,0),IF(H37&lt;21,1,0)),5,""),IF(AND(IF(H37&gt;=21,1,0),IF(H37&lt;80,1,0)),21,""),IF(AND(IF(H37&gt;=80,1,0),IF(H37&lt;96,1,0)),80,""),IF(AND(IF(H37&gt;=96,1,0),IF(H37&lt;100,1,0)),96,""))</f>
        <v>5</v>
      </c>
      <c r="H37" s="688">
        <v>15</v>
      </c>
      <c r="I37" s="1101">
        <v>33</v>
      </c>
      <c r="J37" s="834">
        <v>51</v>
      </c>
      <c r="K37" s="1101">
        <v>59</v>
      </c>
      <c r="L37" s="834">
        <v>67</v>
      </c>
      <c r="M37" s="945">
        <v>77.5</v>
      </c>
      <c r="N37" s="690">
        <v>88</v>
      </c>
      <c r="O37" s="954">
        <v>92.5</v>
      </c>
      <c r="P37" s="691">
        <v>97</v>
      </c>
      <c r="Q37" s="1131" t="str">
        <f>CONCATENATE(IF(AND(IF(P37&gt;=0,1,0),IF(P37&lt;5,1,0)),5,""),IF(AND(IF(P37&gt;=5,1,0),IF(P37&lt;21,1,0)),21,""),IF(AND(IF(P37&gt;=21,1,0),IF(P37&lt;80,1,0)),80,""),IF(AND(IF(P37&gt;=80,1,0),IF(P37&lt;96,1,0)),96,""),IF(AND(IF(P37&gt;=96,1,0),IF(P37&lt;100,1,0)),100,""))</f>
        <v>100</v>
      </c>
      <c r="R37" s="1190">
        <v>5</v>
      </c>
    </row>
    <row r="38" spans="4:19" ht="16.75" thickTop="1" thickBot="1">
      <c r="D38" s="110"/>
      <c r="E38" s="11"/>
      <c r="F38" s="1210">
        <v>6</v>
      </c>
      <c r="G38" s="1127"/>
      <c r="H38" s="944">
        <f>AVERAGE(H37,H39)</f>
        <v>14</v>
      </c>
      <c r="I38" s="945"/>
      <c r="J38" s="944">
        <f>AVERAGE(J37,J39)</f>
        <v>33</v>
      </c>
      <c r="K38" s="935"/>
      <c r="L38" s="944">
        <f>AVERAGE(L37,L39)</f>
        <v>59</v>
      </c>
      <c r="M38" s="947"/>
      <c r="N38" s="944">
        <f>AVERAGE(N37,N39)</f>
        <v>77.5</v>
      </c>
      <c r="O38" s="954"/>
      <c r="P38" s="944">
        <f>AVERAGE(P37,P39)</f>
        <v>92.5</v>
      </c>
      <c r="Q38" s="1130"/>
      <c r="R38" s="1190">
        <v>6</v>
      </c>
    </row>
    <row r="39" spans="4:19" ht="16.75" thickTop="1" thickBot="1">
      <c r="D39" s="1143" t="s">
        <v>1433</v>
      </c>
      <c r="E39" s="834" t="s">
        <v>260</v>
      </c>
      <c r="F39" s="1213">
        <v>7</v>
      </c>
      <c r="G39" s="1126" t="str">
        <f>CONCATENATE(IF(AND(IF(H39&gt;=0,1,0),IF(H39&lt;5,1,0)),0,""),IF(AND(IF(H39&gt;=5,1,0),IF(H39&lt;21,1,0)),5,""),IF(AND(IF(H39&gt;=21,1,0),IF(H39&lt;80,1,0)),21,""),IF(AND(IF(H39&gt;=80,1,0),IF(H39&lt;96,1,0)),80,""),IF(AND(IF(H39&gt;=96,1,0),IF(H39&lt;100,1,0)),96,""))</f>
        <v>5</v>
      </c>
      <c r="H39" s="688">
        <v>13</v>
      </c>
      <c r="I39" s="945">
        <v>14</v>
      </c>
      <c r="J39" s="692">
        <v>15</v>
      </c>
      <c r="K39" s="954">
        <v>33</v>
      </c>
      <c r="L39" s="834">
        <v>51</v>
      </c>
      <c r="M39" s="945">
        <v>59</v>
      </c>
      <c r="N39" s="689">
        <v>67</v>
      </c>
      <c r="O39" s="954">
        <v>77.5</v>
      </c>
      <c r="P39" s="693">
        <v>88</v>
      </c>
      <c r="Q39" s="1131" t="str">
        <f>CONCATENATE(IF(AND(IF(P39&gt;=0,1,0),IF(P39&lt;5,1,0)),5,""),IF(AND(IF(P39&gt;=5,1,0),IF(P39&lt;21,1,0)),21,""),IF(AND(IF(P39&gt;=21,1,0),IF(P39&lt;80,1,0)),80,""),IF(AND(IF(P39&gt;=80,1,0),IF(P39&lt;96,1,0)),96,""),IF(AND(IF(P39&gt;=96,1,0),IF(P39&lt;100,1,0)),100,""))</f>
        <v>96</v>
      </c>
      <c r="R39" s="1190">
        <v>7</v>
      </c>
    </row>
    <row r="40" spans="4:19" ht="16.75" thickTop="1" thickBot="1">
      <c r="D40" s="1120"/>
      <c r="E40" s="11"/>
      <c r="F40" s="1210">
        <v>8</v>
      </c>
      <c r="G40" s="1127"/>
      <c r="H40" s="944">
        <f>AVERAGE(H39,H41)</f>
        <v>7.5</v>
      </c>
      <c r="I40" s="945"/>
      <c r="J40" s="944">
        <f>AVERAGE(J39,J41)</f>
        <v>14</v>
      </c>
      <c r="K40" s="935"/>
      <c r="L40" s="944">
        <f>AVERAGE(L39,L41)</f>
        <v>33</v>
      </c>
      <c r="M40" s="947"/>
      <c r="N40" s="944">
        <f>AVERAGE(N39,N41)</f>
        <v>59</v>
      </c>
      <c r="O40" s="954"/>
      <c r="P40" s="944">
        <f>AVERAGE(P39,P41)</f>
        <v>77.5</v>
      </c>
      <c r="Q40" s="1130"/>
      <c r="R40" s="1190">
        <v>8</v>
      </c>
    </row>
    <row r="41" spans="4:19" ht="16.75" thickTop="1" thickBot="1">
      <c r="D41" s="1117" t="s">
        <v>1432</v>
      </c>
      <c r="E41" s="1209" t="s">
        <v>238</v>
      </c>
      <c r="F41" s="1214">
        <v>9</v>
      </c>
      <c r="G41" s="1126" t="str">
        <f>CONCATENATE(IF(AND(IF(H41&gt;=0,1,0),IF(H41&lt;5,1,0)),0,""),IF(AND(IF(H41&gt;=5,1,0),IF(H41&lt;21,1,0)),5,""),IF(AND(IF(H41&gt;=21,1,0),IF(H41&lt;80,1,0)),21,""),IF(AND(IF(H41&gt;=80,1,0),IF(H41&lt;96,1,0)),80,""),IF(AND(IF(H41&gt;=96,1,0),IF(H41&lt;100,1,0)),96,""))</f>
        <v>0</v>
      </c>
      <c r="H41" s="694">
        <v>2</v>
      </c>
      <c r="I41" s="945">
        <v>7.5</v>
      </c>
      <c r="J41" s="692">
        <v>13</v>
      </c>
      <c r="K41" s="947">
        <v>14</v>
      </c>
      <c r="L41" s="692">
        <v>15</v>
      </c>
      <c r="M41" s="947">
        <v>33</v>
      </c>
      <c r="N41" s="689">
        <v>51</v>
      </c>
      <c r="O41" s="954">
        <v>59</v>
      </c>
      <c r="P41" s="695">
        <v>67</v>
      </c>
      <c r="Q41" s="1131" t="str">
        <f>CONCATENATE(IF(AND(IF(P41&gt;=0,1,0),IF(P41&lt;5,1,0)),5,""),IF(AND(IF(P41&gt;=5,1,0),IF(P41&lt;21,1,0)),21,""),IF(AND(IF(P41&gt;=21,1,0),IF(P41&lt;80,1,0)),80,""),IF(AND(IF(P41&gt;=80,1,0),IF(P41&lt;96,1,0)),96,""),IF(AND(IF(P41&gt;=96,1,0),IF(P41&lt;100,1,0)),100,""))</f>
        <v>80</v>
      </c>
      <c r="R41" s="1190">
        <v>9</v>
      </c>
    </row>
    <row r="42" spans="4:19" ht="16.75" thickTop="1" thickBot="1">
      <c r="D42" s="1118"/>
      <c r="E42" s="11"/>
      <c r="F42" s="1210">
        <v>10</v>
      </c>
      <c r="G42" s="1127"/>
      <c r="H42" s="944">
        <f>AVERAGE(H41,H43)</f>
        <v>1.5</v>
      </c>
      <c r="I42" s="946"/>
      <c r="J42" s="944">
        <f>AVERAGE(J41,J43)</f>
        <v>7.5</v>
      </c>
      <c r="K42" s="936"/>
      <c r="L42" s="944">
        <f>AVERAGE(L41,L43)</f>
        <v>14</v>
      </c>
      <c r="M42" s="952"/>
      <c r="N42" s="944">
        <f>AVERAGE(N41,N43)</f>
        <v>33</v>
      </c>
      <c r="O42" s="955"/>
      <c r="P42" s="944">
        <f>AVERAGE(P41,P43)</f>
        <v>42.5</v>
      </c>
      <c r="Q42" s="1130"/>
      <c r="R42" s="1190">
        <v>10</v>
      </c>
    </row>
    <row r="43" spans="4:19" ht="16.75" thickTop="1" thickBot="1">
      <c r="D43" s="1142" t="s">
        <v>1436</v>
      </c>
      <c r="E43" s="1045" t="s">
        <v>348</v>
      </c>
      <c r="F43" s="1215">
        <v>11</v>
      </c>
      <c r="G43" s="1126" t="str">
        <f>CONCATENATE(IF(AND(IF(H43&gt;=0,1,0),IF(H43&lt;5,1,0)),0,""),IF(AND(IF(H43&gt;=5,1,0),IF(H43&lt;21,1,0)),5,""),IF(AND(IF(H43&gt;=21,1,0),IF(H43&lt;80,1,0)),21,""),IF(AND(IF(H43&gt;=80,1,0),IF(H43&lt;96,1,0)),80,""),IF(AND(IF(H43&gt;=96,1,0),IF(H43&lt;100,1,0)),96,""))</f>
        <v>0</v>
      </c>
      <c r="H43" s="696">
        <v>1</v>
      </c>
      <c r="I43" s="1102">
        <v>1.5</v>
      </c>
      <c r="J43" s="697">
        <v>2</v>
      </c>
      <c r="K43" s="1104">
        <v>7.5</v>
      </c>
      <c r="L43" s="698">
        <v>13</v>
      </c>
      <c r="M43" s="1106">
        <v>14</v>
      </c>
      <c r="N43" s="981">
        <v>15</v>
      </c>
      <c r="O43" s="1108">
        <v>16.5</v>
      </c>
      <c r="P43" s="699">
        <v>18</v>
      </c>
      <c r="Q43" s="1131" t="str">
        <f>CONCATENATE(IF(AND(IF(P43&gt;=0,1,0),IF(P43&lt;5,1,0)),5,""),IF(AND(IF(P43&gt;=5,1,0),IF(P43&lt;21,1,0)),21,""),IF(AND(IF(P43&gt;=21,1,0),IF(P43&lt;80,1,0)),80,""),IF(AND(IF(P43&gt;=80,1,0),IF(P43&lt;96,1,0)),96,""),IF(AND(IF(P43&gt;=96,1,0),IF(P43&lt;100,1,0)),100,""))</f>
        <v>21</v>
      </c>
      <c r="R43" s="1190">
        <v>11</v>
      </c>
    </row>
    <row r="44" spans="4:19" ht="21.45" thickTop="1" thickBot="1">
      <c r="E44" s="11"/>
      <c r="F44" s="1210">
        <v>12</v>
      </c>
      <c r="G44" s="1067"/>
      <c r="H44" s="1128" t="str">
        <f>CONCATENATE(IF(AND(IF(H43&gt;=0,1,0),IF(H43&lt;5,1,0)),0,""),IF(AND(IF(H43&gt;=5,1,0),IF(H43&lt;21,1,0)),5,""),IF(AND(IF(H43&gt;=21,1,0),IF(H43&lt;80,1,0)),21,""),IF(AND(IF(H43&gt;=80,1,0),IF(H43&lt;96,1,0)),80,""),IF(AND(IF(H43&gt;=96,1,0),IF(H43&lt;100,1,0)),96,""))</f>
        <v>0</v>
      </c>
      <c r="I44" s="1116"/>
      <c r="J44" s="1128" t="str">
        <f>CONCATENATE(IF(AND(IF(J43&gt;=0,1,0),IF(J43&lt;5,1,0)),0,""),IF(AND(IF(J43&gt;=5,1,0),IF(J43&lt;21,1,0)),5,""),IF(AND(IF(J43&gt;=21,1,0),IF(J43&lt;80,1,0)),21,""),IF(AND(IF(J43&gt;=80,1,0),IF(J43&lt;96,1,0)),80,""),IF(AND(IF(J43&gt;=96,1,0),IF(J43&lt;100,1,0)),96,""))</f>
        <v>0</v>
      </c>
      <c r="K44" s="1116"/>
      <c r="L44" s="1128" t="str">
        <f>CONCATENATE(IF(AND(IF(L43&gt;=0,1,0),IF(L43&lt;5,1,0)),0,""),IF(AND(IF(L43&gt;=5,1,0),IF(L43&lt;21,1,0)),5,""),IF(AND(IF(L43&gt;=21,1,0),IF(L43&lt;80,1,0)),21,""),IF(AND(IF(L43&gt;=80,1,0),IF(L43&lt;96,1,0)),80,""),IF(AND(IF(L43&gt;=96,1,0),IF(L43&lt;100,1,0)),96,""))</f>
        <v>5</v>
      </c>
      <c r="M44" s="1116"/>
      <c r="N44" s="1128" t="str">
        <f>CONCATENATE(IF(AND(IF(N43&gt;=0,1,0),IF(N43&lt;5,1,0)),0,""),IF(AND(IF(N43&gt;=5,1,0),IF(N43&lt;21,1,0)),5,""),IF(AND(IF(N43&gt;=21,1,0),IF(N43&lt;80,1,0)),21,""),IF(AND(IF(N43&gt;=80,1,0),IF(N43&lt;96,1,0)),80,""),IF(AND(IF(N43&gt;=96,1,0),IF(N43&lt;100,1,0)),96,""))</f>
        <v>5</v>
      </c>
      <c r="O44" s="1116"/>
      <c r="P44" s="1128" t="str">
        <f>CONCATENATE(IF(AND(IF(P43&gt;=0,1,0),IF(P43&lt;5,1,0)),0,""),IF(AND(IF(P43&gt;=5,1,0),IF(P43&lt;21,1,0)),5,""),IF(AND(IF(P43&gt;=21,1,0),IF(P43&lt;80,1,0)),21,""),IF(AND(IF(P43&gt;=80,1,0),IF(P43&lt;96,1,0)),80,""),IF(AND(IF(P43&gt;=96,1,0),IF(P43&lt;100,1,0)),96,""))</f>
        <v>5</v>
      </c>
      <c r="Q44" s="1071"/>
      <c r="R44" s="1190" t="s">
        <v>1464</v>
      </c>
    </row>
    <row r="45" spans="4:19" ht="15.45" thickTop="1" thickBot="1">
      <c r="E45" s="1190" t="s">
        <v>1462</v>
      </c>
      <c r="F45" s="1190">
        <v>1</v>
      </c>
      <c r="G45" s="1190">
        <v>2</v>
      </c>
      <c r="H45" s="1190">
        <v>3</v>
      </c>
      <c r="I45" s="1190">
        <v>4</v>
      </c>
      <c r="J45" s="1190">
        <v>5</v>
      </c>
      <c r="K45" s="1190">
        <v>6</v>
      </c>
      <c r="L45" s="1190">
        <v>7</v>
      </c>
      <c r="M45" s="1190">
        <v>8</v>
      </c>
      <c r="N45" s="1190">
        <v>9</v>
      </c>
      <c r="O45" s="1190">
        <v>10</v>
      </c>
      <c r="P45" s="1190">
        <v>11</v>
      </c>
      <c r="Q45" s="1190" t="s">
        <v>1461</v>
      </c>
      <c r="R45" s="11"/>
    </row>
    <row r="46" spans="4:19" ht="15" thickTop="1"/>
    <row r="47" spans="4:19">
      <c r="D47">
        <v>1</v>
      </c>
      <c r="E47">
        <f>1+D47</f>
        <v>2</v>
      </c>
      <c r="F47">
        <f t="shared" ref="F47:K47" si="1">1+E47</f>
        <v>3</v>
      </c>
      <c r="G47">
        <f t="shared" si="1"/>
        <v>4</v>
      </c>
      <c r="H47">
        <f t="shared" si="1"/>
        <v>5</v>
      </c>
      <c r="I47">
        <f t="shared" si="1"/>
        <v>6</v>
      </c>
      <c r="J47">
        <f t="shared" si="1"/>
        <v>7</v>
      </c>
      <c r="K47">
        <f t="shared" si="1"/>
        <v>8</v>
      </c>
      <c r="L47">
        <v>1</v>
      </c>
      <c r="M47">
        <f>1+L47</f>
        <v>2</v>
      </c>
      <c r="N47">
        <f t="shared" ref="N47:S47" si="2">1+M47</f>
        <v>3</v>
      </c>
      <c r="O47">
        <f t="shared" si="2"/>
        <v>4</v>
      </c>
      <c r="P47">
        <f t="shared" si="2"/>
        <v>5</v>
      </c>
      <c r="Q47">
        <f t="shared" si="2"/>
        <v>6</v>
      </c>
      <c r="R47">
        <f t="shared" si="2"/>
        <v>7</v>
      </c>
      <c r="S47">
        <f t="shared" si="2"/>
        <v>8</v>
      </c>
    </row>
    <row r="48" spans="4:19" ht="15" thickBot="1"/>
    <row r="49" spans="4:17" ht="26.6" thickTop="1">
      <c r="D49" s="2386" t="s">
        <v>1489</v>
      </c>
      <c r="E49" s="2387"/>
      <c r="F49" s="2387"/>
      <c r="G49" s="2387"/>
      <c r="H49" s="2387"/>
      <c r="I49" s="2387"/>
      <c r="J49" s="2387"/>
      <c r="K49" s="2387"/>
      <c r="L49" s="2387"/>
      <c r="M49" s="2387"/>
      <c r="N49" s="2387"/>
      <c r="O49" s="2387"/>
      <c r="P49" s="2387"/>
      <c r="Q49" s="2388"/>
    </row>
    <row r="50" spans="4:17">
      <c r="D50" s="1248"/>
      <c r="E50" s="1249"/>
      <c r="F50" s="1249"/>
      <c r="G50" s="1249"/>
      <c r="H50" s="1249"/>
      <c r="I50" s="1249"/>
      <c r="J50" s="1249"/>
      <c r="K50" s="1249"/>
      <c r="L50" s="1249"/>
      <c r="M50" s="1249"/>
      <c r="N50" s="1249"/>
      <c r="O50" s="1249"/>
      <c r="P50" s="1249"/>
      <c r="Q50" s="1250"/>
    </row>
    <row r="51" spans="4:17" ht="15" thickBot="1">
      <c r="D51" s="75"/>
      <c r="Q51" s="88"/>
    </row>
    <row r="52" spans="4:17" ht="16.75" thickTop="1" thickBot="1">
      <c r="D52" s="75"/>
      <c r="E52" s="1189" t="s">
        <v>1460</v>
      </c>
      <c r="F52" s="1237">
        <f>VLOOKUP($I$5,$E$32:$Q$44,2,FALSE)</f>
        <v>7</v>
      </c>
      <c r="G52" s="1232" t="str">
        <f>VLOOKUP($I$5,$E$32:$Q$44,1,FALSE)</f>
        <v>Moderate</v>
      </c>
      <c r="H52" s="529" t="s">
        <v>1484</v>
      </c>
      <c r="I52" s="1219" t="s">
        <v>1467</v>
      </c>
      <c r="L52" s="2365" t="s">
        <v>1487</v>
      </c>
      <c r="M52" s="2366"/>
      <c r="N52" s="2367"/>
      <c r="O52" s="1251" t="str">
        <f>I5</f>
        <v>Moderate</v>
      </c>
      <c r="Q52" s="88"/>
    </row>
    <row r="53" spans="4:17" ht="16.75" thickTop="1" thickBot="1">
      <c r="D53" s="75"/>
      <c r="E53" s="1189" t="s">
        <v>1459</v>
      </c>
      <c r="F53" s="1188">
        <f>HLOOKUP($P$5,$E$32:$Q$44,2,FALSE)</f>
        <v>9</v>
      </c>
      <c r="G53" s="1218" t="str">
        <f>HLOOKUP($P$5,$E$32:$Q$44,1,FALSE)</f>
        <v>High</v>
      </c>
      <c r="H53" s="529" t="s">
        <v>1485</v>
      </c>
      <c r="I53" s="1220" t="s">
        <v>1468</v>
      </c>
      <c r="L53" s="962" t="s">
        <v>1437</v>
      </c>
      <c r="M53" s="1245" t="str">
        <f>$F$55</f>
        <v>21</v>
      </c>
      <c r="N53" s="968" t="s">
        <v>1472</v>
      </c>
      <c r="O53" s="1274">
        <f>$H$61</f>
        <v>59</v>
      </c>
      <c r="Q53" s="88"/>
    </row>
    <row r="54" spans="4:17" ht="16.75" thickTop="1" thickBot="1">
      <c r="D54" s="75"/>
      <c r="F54" s="1238"/>
      <c r="K54" s="1803" t="s">
        <v>2059</v>
      </c>
      <c r="L54" s="974" t="s">
        <v>1438</v>
      </c>
      <c r="M54" s="1246">
        <f>$G$5</f>
        <v>57.5</v>
      </c>
      <c r="N54" s="972" t="s">
        <v>1486</v>
      </c>
      <c r="O54" s="1806">
        <f>$O$53+($M$56/100)*($O$55-$O$53)</f>
        <v>70.444915254237287</v>
      </c>
      <c r="Q54" s="88"/>
    </row>
    <row r="55" spans="4:17" ht="16.75" thickTop="1" thickBot="1">
      <c r="D55" s="75"/>
      <c r="E55" s="529" t="s">
        <v>1479</v>
      </c>
      <c r="F55" s="1241" t="str">
        <f>CONCATENATE( IF($I$5="Very High", 96, ""), IF($I$5="High", 80, ""), IF($I$5="Moderate", 21, ""), IF($I$5="Low", 5, ""), IF($I$5="Very Low", 0,""))</f>
        <v>21</v>
      </c>
      <c r="G55" s="1239" t="str">
        <f>VLOOKUP($I$5,$E$32:$Q$44,1,FALSE)</f>
        <v>Moderate</v>
      </c>
      <c r="L55" s="964" t="s">
        <v>1439</v>
      </c>
      <c r="M55" s="1247" t="str">
        <f>$F$56</f>
        <v>80</v>
      </c>
      <c r="N55" s="970" t="s">
        <v>1473</v>
      </c>
      <c r="O55" s="1271">
        <f>$J$61</f>
        <v>77.5</v>
      </c>
      <c r="Q55" s="88"/>
    </row>
    <row r="56" spans="4:17" ht="16.75" thickTop="1" thickBot="1">
      <c r="D56" s="75"/>
      <c r="E56" s="529" t="s">
        <v>1480</v>
      </c>
      <c r="F56" s="1241" t="str">
        <f>CONCATENATE( IF($I$5="Very High", 100, ""), IF($I$5="High", 96, ""), IF($I$5="Moderate", 80, ""), IF($I$5="Low", 21, ""), IF($I$5="Very Low", 5,""))</f>
        <v>80</v>
      </c>
      <c r="I56" s="833" t="s">
        <v>1483</v>
      </c>
      <c r="L56" s="966" t="s">
        <v>1440</v>
      </c>
      <c r="M56" s="1805">
        <f>100*($M$54-$M$53)/($M$55-$M$53)</f>
        <v>61.864406779661017</v>
      </c>
      <c r="O56" s="1808"/>
      <c r="P56" s="1253" t="s">
        <v>293</v>
      </c>
      <c r="Q56" s="88"/>
    </row>
    <row r="57" spans="4:17" ht="16.75" thickTop="1" thickBot="1">
      <c r="D57" s="75"/>
      <c r="F57" s="1238"/>
      <c r="I57" s="833">
        <f>$N$5</f>
        <v>88</v>
      </c>
      <c r="O57" s="100"/>
      <c r="P57" s="1133" t="str">
        <f>CONCATENATE(IF($P$58 &lt; 5, "Very Low", ""), IF( AND( IF($P$58 &gt;= 5, 1, 0),  IF($P$58 &lt; 21, 1, 0) ), "Low", ""), IF( AND( IF($P$58 &gt;= 21, 1, 0),  IF($P$58 &lt; 80, 1, 0) ), "Moderate", ""), IF( AND( IF($P$58 &gt;= 80, 1, 0),  IF($P$58 &lt; 96, 1, 0) ), "High", ""), IF( AND( IF($P$58 &gt;= 96, 1, 0),  IF($P$58 &lt;= 100, 1, 0) ), "Very High", "") )</f>
        <v>Moderate</v>
      </c>
      <c r="Q57" s="88"/>
    </row>
    <row r="58" spans="4:17" ht="16.75" thickTop="1" thickBot="1">
      <c r="D58" s="75"/>
      <c r="E58" s="529" t="s">
        <v>1481</v>
      </c>
      <c r="F58" s="1241" t="str">
        <f>CONCATENATE( IF($P$5="Very High", 96, ""), IF($P$5="High", 80, ""), IF($P$5="Moderate", 21, ""), IF($P$5="Low", 5, ""), IF($P$5="Very Low", 0,""))</f>
        <v>80</v>
      </c>
      <c r="G58" s="1240" t="str">
        <f>HLOOKUP($P$5,$E$32:$Q$44,1,FALSE)</f>
        <v>High</v>
      </c>
      <c r="I58" s="833" t="str">
        <f>$G$53</f>
        <v>High</v>
      </c>
      <c r="J58" s="92"/>
      <c r="L58" s="2256" t="s">
        <v>1488</v>
      </c>
      <c r="M58" s="2257"/>
      <c r="N58" s="2258"/>
      <c r="O58" s="1251" t="str">
        <f>$P$5</f>
        <v>High</v>
      </c>
      <c r="P58" s="1133">
        <f>ROUND(SQRT(SUMSQ($O$54,$O$60)/2), 1)</f>
        <v>69.400000000000006</v>
      </c>
      <c r="Q58" s="88"/>
    </row>
    <row r="59" spans="4:17" ht="16.75" thickTop="1" thickBot="1">
      <c r="D59" s="75"/>
      <c r="E59" s="529" t="s">
        <v>1482</v>
      </c>
      <c r="F59" s="1241" t="str">
        <f>CONCATENATE( IF($P$5="Very High", 100, ""), IF($P$5="High", 96, ""), IF($P$5="Moderate", 80, ""), IF($P$5="Low", 21, ""), IF($P$5="Very Low", 5,""))</f>
        <v>96</v>
      </c>
      <c r="H59" s="1009"/>
      <c r="I59" s="1227" t="s">
        <v>1477</v>
      </c>
      <c r="J59" s="97"/>
      <c r="L59" s="962" t="s">
        <v>1320</v>
      </c>
      <c r="M59" s="1245" t="str">
        <f>$F$58</f>
        <v>80</v>
      </c>
      <c r="N59" s="968" t="s">
        <v>1474</v>
      </c>
      <c r="O59" s="1272">
        <f>$I$62</f>
        <v>59</v>
      </c>
      <c r="P59" s="1809">
        <f>SQRT(SUMSQ($O$54,$O$60)/2)</f>
        <v>69.35614098685376</v>
      </c>
      <c r="Q59" s="88"/>
    </row>
    <row r="60" spans="4:17" ht="15.45" thickTop="1" thickBot="1">
      <c r="D60" s="75"/>
      <c r="H60" s="1224" t="s">
        <v>1469</v>
      </c>
      <c r="I60" s="735">
        <f>HLOOKUP($P$5,$E$32:$Q$44, VLOOKUP($I$5,$E$32:$Q$44,2,FALSE),FALSE)</f>
        <v>77.5</v>
      </c>
      <c r="J60" s="1225" t="s">
        <v>1470</v>
      </c>
      <c r="K60" s="1803" t="s">
        <v>2060</v>
      </c>
      <c r="L60" s="974" t="s">
        <v>1321</v>
      </c>
      <c r="M60" s="1246">
        <f>$N$5</f>
        <v>88</v>
      </c>
      <c r="N60" s="972" t="s">
        <v>1476</v>
      </c>
      <c r="O60" s="1807">
        <f>$O$59+($M$62/100)*($O$61-$O$59)</f>
        <v>68.25</v>
      </c>
      <c r="Q60" s="88"/>
    </row>
    <row r="61" spans="4:17" ht="15.45" thickTop="1" thickBot="1">
      <c r="D61" s="75"/>
      <c r="E61" s="1242" t="s">
        <v>1478</v>
      </c>
      <c r="F61" s="1243">
        <f>$G$5</f>
        <v>57.5</v>
      </c>
      <c r="G61" s="1244" t="str">
        <f>$I$5</f>
        <v>Moderate</v>
      </c>
      <c r="H61" s="1229">
        <f>VLOOKUP($I$5,$E$32:$Q$44, HLOOKUP($P$5,$E$32:$Q$44,2,FALSE),FALSE)</f>
        <v>59</v>
      </c>
      <c r="I61" s="834">
        <f>VLOOKUP($I$5,$E$32:$Q$44, HLOOKUP($P$5,$E$32:$Q$44,2,FALSE)+1,FALSE)</f>
        <v>67</v>
      </c>
      <c r="J61" s="1226">
        <f>VLOOKUP($I$5,$E$32:$Q$44, HLOOKUP($P$5,$E$32:$Q$44,2,FALSE)+2,FALSE)</f>
        <v>77.5</v>
      </c>
      <c r="L61" s="964" t="s">
        <v>1322</v>
      </c>
      <c r="M61" s="1247" t="str">
        <f>$F$59</f>
        <v>96</v>
      </c>
      <c r="N61" s="970" t="s">
        <v>1475</v>
      </c>
      <c r="O61" s="1273">
        <f>$I$60</f>
        <v>77.5</v>
      </c>
      <c r="Q61" s="88"/>
    </row>
    <row r="62" spans="4:17" ht="15.45" thickTop="1" thickBot="1">
      <c r="D62" s="75"/>
      <c r="G62" s="6"/>
      <c r="H62" s="1011"/>
      <c r="I62" s="735">
        <f>HLOOKUP($P$5,$E$32:$Q$44, VLOOKUP($I$5,$E$32:$Q$44,2,FALSE)+2,FALSE)</f>
        <v>59</v>
      </c>
      <c r="J62" s="88"/>
      <c r="L62" s="966" t="s">
        <v>1441</v>
      </c>
      <c r="M62" s="1805">
        <f>100*($M$60-$M$59)/($M$61-$M$59)</f>
        <v>50</v>
      </c>
      <c r="Q62" s="88"/>
    </row>
    <row r="63" spans="4:17" ht="15.45" thickTop="1" thickBot="1">
      <c r="D63" s="75"/>
      <c r="H63" s="1014"/>
      <c r="I63" s="1228" t="s">
        <v>1471</v>
      </c>
      <c r="J63" s="807"/>
      <c r="Q63" s="88"/>
    </row>
    <row r="64" spans="4:17" ht="15" thickTop="1">
      <c r="D64" s="75"/>
      <c r="Q64" s="88"/>
    </row>
    <row r="65" spans="4:17" ht="15" thickBot="1">
      <c r="D65" s="92"/>
      <c r="E65" s="99"/>
      <c r="F65" s="99"/>
      <c r="G65" s="99"/>
      <c r="H65" s="99"/>
      <c r="I65" s="99"/>
      <c r="J65" s="99"/>
      <c r="K65" s="99"/>
      <c r="L65" s="99"/>
      <c r="M65" s="99"/>
      <c r="N65" s="99"/>
      <c r="O65" s="99"/>
      <c r="P65" s="99"/>
      <c r="Q65" s="807"/>
    </row>
    <row r="66" spans="4:17" ht="15" thickTop="1"/>
    <row r="88" spans="4:17" ht="15" thickBot="1"/>
    <row r="89" spans="4:17" ht="15.45" thickTop="1" thickBot="1">
      <c r="F89" s="254"/>
      <c r="G89" s="96"/>
      <c r="H89" s="96"/>
      <c r="I89" s="96"/>
      <c r="J89" s="96"/>
      <c r="K89" s="96"/>
      <c r="L89" s="96"/>
      <c r="M89" s="96"/>
      <c r="N89" s="96"/>
      <c r="O89" s="96"/>
      <c r="P89" s="96"/>
      <c r="Q89" s="97"/>
    </row>
    <row r="90" spans="4:17" ht="16.75" thickTop="1" thickBot="1">
      <c r="F90" s="75"/>
      <c r="J90" s="2368" t="s">
        <v>1443</v>
      </c>
      <c r="K90" s="2369"/>
      <c r="L90" s="2369"/>
      <c r="M90" s="2369"/>
      <c r="N90" s="2370"/>
      <c r="Q90" s="88"/>
    </row>
    <row r="91" spans="4:17" ht="16.75" thickTop="1" thickBot="1">
      <c r="F91" s="75"/>
      <c r="G91" s="2371" t="s">
        <v>1442</v>
      </c>
      <c r="H91" s="2372"/>
      <c r="I91" s="2373"/>
      <c r="J91" s="1146" t="s">
        <v>1436</v>
      </c>
      <c r="K91" s="1147" t="s">
        <v>1432</v>
      </c>
      <c r="L91" s="1148" t="s">
        <v>1433</v>
      </c>
      <c r="M91" s="1149" t="s">
        <v>1434</v>
      </c>
      <c r="N91" s="1150" t="s">
        <v>1435</v>
      </c>
      <c r="Q91" s="88"/>
    </row>
    <row r="92" spans="4:17" ht="16.5" customHeight="1" thickTop="1" thickBot="1">
      <c r="F92" s="75"/>
      <c r="H92" s="1259" t="s">
        <v>1450</v>
      </c>
      <c r="I92" s="1269" t="s">
        <v>1605</v>
      </c>
      <c r="J92" s="1152" t="s">
        <v>348</v>
      </c>
      <c r="K92" s="1151" t="s">
        <v>238</v>
      </c>
      <c r="L92" s="1153" t="s">
        <v>260</v>
      </c>
      <c r="M92" s="1154" t="s">
        <v>261</v>
      </c>
      <c r="N92" s="1059" t="s">
        <v>235</v>
      </c>
      <c r="O92" s="1281" t="s">
        <v>1586</v>
      </c>
      <c r="Q92" s="88"/>
    </row>
    <row r="93" spans="4:17" ht="16.5" customHeight="1" thickTop="1" thickBot="1">
      <c r="F93" s="75"/>
      <c r="G93" s="1141"/>
      <c r="H93" s="1171" t="s">
        <v>1604</v>
      </c>
      <c r="I93" s="1172">
        <v>1</v>
      </c>
      <c r="J93" s="1155">
        <v>2</v>
      </c>
      <c r="K93" s="1166">
        <v>3</v>
      </c>
      <c r="L93" s="1155">
        <v>4</v>
      </c>
      <c r="M93" s="1155">
        <v>5</v>
      </c>
      <c r="N93" s="1155">
        <v>6</v>
      </c>
      <c r="O93" s="1159">
        <v>2</v>
      </c>
      <c r="Q93" s="88"/>
    </row>
    <row r="94" spans="4:17" ht="15.45" thickTop="1" thickBot="1">
      <c r="F94" s="75"/>
      <c r="G94" s="1145" t="s">
        <v>1435</v>
      </c>
      <c r="H94" s="1121" t="s">
        <v>235</v>
      </c>
      <c r="I94" s="1157">
        <v>2</v>
      </c>
      <c r="J94" s="1332" t="s">
        <v>238</v>
      </c>
      <c r="K94" s="684" t="s">
        <v>260</v>
      </c>
      <c r="L94" s="685" t="s">
        <v>261</v>
      </c>
      <c r="M94" s="686" t="s">
        <v>235</v>
      </c>
      <c r="N94" s="687" t="s">
        <v>1602</v>
      </c>
      <c r="O94" s="1281">
        <v>3</v>
      </c>
      <c r="Q94" s="88"/>
    </row>
    <row r="95" spans="4:17" ht="15.45" thickTop="1" thickBot="1">
      <c r="F95" s="75"/>
      <c r="G95" s="1144" t="s">
        <v>1434</v>
      </c>
      <c r="H95" s="1122" t="s">
        <v>261</v>
      </c>
      <c r="I95" s="1165">
        <v>3</v>
      </c>
      <c r="J95" s="1333" t="s">
        <v>238</v>
      </c>
      <c r="K95" s="689" t="s">
        <v>260</v>
      </c>
      <c r="L95" s="689" t="s">
        <v>260</v>
      </c>
      <c r="M95" s="690" t="s">
        <v>1601</v>
      </c>
      <c r="N95" s="691" t="s">
        <v>235</v>
      </c>
      <c r="O95" s="1281">
        <v>4</v>
      </c>
      <c r="Q95" s="88"/>
    </row>
    <row r="96" spans="4:17" ht="15.45" thickTop="1" thickBot="1">
      <c r="D96" s="786"/>
      <c r="F96" s="75"/>
      <c r="G96" s="1143" t="s">
        <v>1433</v>
      </c>
      <c r="H96" s="1123" t="s">
        <v>260</v>
      </c>
      <c r="I96" s="1156">
        <v>4</v>
      </c>
      <c r="J96" s="1333" t="s">
        <v>238</v>
      </c>
      <c r="K96" s="762" t="s">
        <v>238</v>
      </c>
      <c r="L96" s="689" t="s">
        <v>1599</v>
      </c>
      <c r="M96" s="689" t="s">
        <v>260</v>
      </c>
      <c r="N96" s="693" t="s">
        <v>261</v>
      </c>
      <c r="O96" s="1281">
        <v>5</v>
      </c>
      <c r="Q96" s="88"/>
    </row>
    <row r="97" spans="4:17" ht="15.45" thickTop="1" thickBot="1">
      <c r="D97" s="786"/>
      <c r="F97" s="75"/>
      <c r="G97" s="1117" t="s">
        <v>1432</v>
      </c>
      <c r="H97" s="1124" t="s">
        <v>238</v>
      </c>
      <c r="I97" s="1156">
        <v>5</v>
      </c>
      <c r="J97" s="694" t="s">
        <v>348</v>
      </c>
      <c r="K97" s="762" t="s">
        <v>1598</v>
      </c>
      <c r="L97" s="762" t="s">
        <v>238</v>
      </c>
      <c r="M97" s="689" t="s">
        <v>260</v>
      </c>
      <c r="N97" s="695" t="s">
        <v>260</v>
      </c>
      <c r="O97" s="1281">
        <v>6</v>
      </c>
      <c r="Q97" s="88"/>
    </row>
    <row r="98" spans="4:17" ht="15.45" thickTop="1" thickBot="1">
      <c r="D98" s="786"/>
      <c r="F98" s="75"/>
      <c r="G98" s="1142" t="s">
        <v>1436</v>
      </c>
      <c r="H98" s="1125" t="s">
        <v>348</v>
      </c>
      <c r="I98" s="892">
        <v>6</v>
      </c>
      <c r="J98" s="696" t="s">
        <v>1600</v>
      </c>
      <c r="K98" s="697" t="s">
        <v>348</v>
      </c>
      <c r="L98" s="1334" t="s">
        <v>238</v>
      </c>
      <c r="M98" s="1334" t="s">
        <v>238</v>
      </c>
      <c r="N98" s="1335" t="s">
        <v>235</v>
      </c>
      <c r="O98" s="1281" t="s">
        <v>1587</v>
      </c>
      <c r="Q98" s="88"/>
    </row>
    <row r="99" spans="4:17" ht="15.75" customHeight="1" thickTop="1" thickBot="1">
      <c r="D99" s="786"/>
      <c r="F99" s="75"/>
      <c r="H99" s="1281" t="s">
        <v>1588</v>
      </c>
      <c r="I99" s="1158">
        <v>2</v>
      </c>
      <c r="J99" s="1281">
        <v>3</v>
      </c>
      <c r="K99" s="1281">
        <v>4</v>
      </c>
      <c r="L99" s="1281">
        <v>5</v>
      </c>
      <c r="M99" s="1281">
        <v>6</v>
      </c>
      <c r="N99" s="1281" t="s">
        <v>1589</v>
      </c>
      <c r="O99" s="11"/>
      <c r="Q99" s="88"/>
    </row>
    <row r="100" spans="4:17" ht="15" thickTop="1">
      <c r="F100" s="75"/>
      <c r="Q100" s="88"/>
    </row>
    <row r="101" spans="4:17" ht="15" thickBot="1">
      <c r="F101" s="75"/>
      <c r="Q101" s="88"/>
    </row>
    <row r="102" spans="4:17" ht="15" thickBot="1">
      <c r="F102" s="75"/>
      <c r="G102" s="1162" t="s">
        <v>1535</v>
      </c>
      <c r="H102" s="1233" t="s">
        <v>260</v>
      </c>
      <c r="I102" s="1162" t="s">
        <v>1539</v>
      </c>
      <c r="J102" s="1285">
        <v>5</v>
      </c>
      <c r="K102" s="1162" t="s">
        <v>1541</v>
      </c>
      <c r="L102" s="1233" t="str">
        <f>VLOOKUP($H$102,$H$92:$N$98,J102,FALSE)</f>
        <v>Moderate_</v>
      </c>
      <c r="M102" s="1160" t="s">
        <v>1537</v>
      </c>
      <c r="N102" s="1235">
        <f>VLOOKUP($H$102,$H$92:$N$98,2,FALSE)</f>
        <v>4</v>
      </c>
      <c r="Q102" s="88"/>
    </row>
    <row r="103" spans="4:17" ht="15" thickBot="1">
      <c r="F103" s="75"/>
      <c r="G103" s="1163" t="s">
        <v>1536</v>
      </c>
      <c r="H103" s="1234" t="s">
        <v>260</v>
      </c>
      <c r="I103" s="1163" t="s">
        <v>1540</v>
      </c>
      <c r="J103" s="1285">
        <v>5</v>
      </c>
      <c r="K103" s="1163" t="s">
        <v>1542</v>
      </c>
      <c r="L103" s="1234" t="str">
        <f>HLOOKUP($H$103,$H$92:$N$98,J103,FALSE)</f>
        <v>Moderate_</v>
      </c>
      <c r="M103" s="1161" t="s">
        <v>1538</v>
      </c>
      <c r="N103" s="1236">
        <f>HLOOKUP($H$103,$H$92:$N$98,2,FALSE)</f>
        <v>4</v>
      </c>
      <c r="Q103" s="88"/>
    </row>
    <row r="104" spans="4:17">
      <c r="F104" s="75"/>
      <c r="Q104" s="88"/>
    </row>
    <row r="105" spans="4:17" ht="15" thickBot="1">
      <c r="F105" s="75"/>
      <c r="H105" s="534"/>
      <c r="I105" s="1173"/>
      <c r="J105" s="534"/>
      <c r="K105" s="1173"/>
      <c r="L105" s="534"/>
      <c r="M105" s="1173"/>
      <c r="Q105" s="88"/>
    </row>
    <row r="106" spans="4:17" ht="15.75" customHeight="1" thickTop="1">
      <c r="F106" s="75"/>
      <c r="G106" s="2374" t="s">
        <v>1456</v>
      </c>
      <c r="H106" s="2375"/>
      <c r="I106" s="2375"/>
      <c r="J106" s="2375"/>
      <c r="K106" s="2375"/>
      <c r="L106" s="1230"/>
      <c r="M106" s="1230"/>
      <c r="N106" s="1230"/>
      <c r="O106" s="1230"/>
      <c r="P106" s="1231"/>
      <c r="Q106" s="88"/>
    </row>
    <row r="107" spans="4:17" ht="15" thickBot="1">
      <c r="F107" s="75"/>
      <c r="G107" s="1175"/>
      <c r="H107" s="1182"/>
      <c r="I107" s="1183"/>
      <c r="J107" s="1182"/>
      <c r="K107" s="1183"/>
      <c r="L107" s="1336" t="s">
        <v>1603</v>
      </c>
      <c r="M107" s="1183"/>
      <c r="N107" s="1184"/>
      <c r="O107" s="1184"/>
      <c r="P107" s="1180"/>
      <c r="Q107" s="88"/>
    </row>
    <row r="108" spans="4:17" ht="16.75" thickTop="1" thickBot="1">
      <c r="F108" s="75"/>
      <c r="G108" s="1176" t="s">
        <v>1457</v>
      </c>
      <c r="H108" s="1185">
        <f>VLOOKUP(L108,$H$92:$N$101,2,FALSE)</f>
        <v>3</v>
      </c>
      <c r="I108" s="1182" t="s">
        <v>1455</v>
      </c>
      <c r="J108" s="1186" t="str">
        <f>VLOOKUP(L108,$H$92:$N$98, HLOOKUP(L109,$H$92:$N$98,2,FALSE)+1,FALSE)</f>
        <v>Moderate</v>
      </c>
      <c r="K108" s="1178" t="s">
        <v>1452</v>
      </c>
      <c r="L108" s="1187" t="s">
        <v>261</v>
      </c>
      <c r="M108" s="1184" t="s">
        <v>1454</v>
      </c>
      <c r="N108" s="1223" t="s">
        <v>1465</v>
      </c>
      <c r="O108" s="1221" t="s">
        <v>1498</v>
      </c>
      <c r="P108" s="1180"/>
      <c r="Q108" s="88"/>
    </row>
    <row r="109" spans="4:17" ht="16.75" thickTop="1" thickBot="1">
      <c r="F109" s="75"/>
      <c r="G109" s="1176" t="s">
        <v>1451</v>
      </c>
      <c r="H109" s="1185">
        <f>HLOOKUP(L109,$H$92:$N$101,2,FALSE)</f>
        <v>3</v>
      </c>
      <c r="I109" s="1184"/>
      <c r="J109" s="1184"/>
      <c r="K109" s="1178" t="s">
        <v>1453</v>
      </c>
      <c r="L109" s="1188" t="s">
        <v>238</v>
      </c>
      <c r="M109" s="1184" t="s">
        <v>1458</v>
      </c>
      <c r="N109" s="1223" t="s">
        <v>1466</v>
      </c>
      <c r="O109" s="1222" t="s">
        <v>1499</v>
      </c>
      <c r="P109" s="1180"/>
      <c r="Q109" s="88"/>
    </row>
    <row r="110" spans="4:17" ht="15" thickTop="1">
      <c r="F110" s="75"/>
      <c r="G110" s="1175"/>
      <c r="H110" s="1184"/>
      <c r="I110" s="1184"/>
      <c r="J110" s="1184"/>
      <c r="K110" s="1184"/>
      <c r="L110" s="1184"/>
      <c r="M110" s="1184"/>
      <c r="N110" s="1184"/>
      <c r="O110" s="1184"/>
      <c r="P110" s="1180"/>
      <c r="Q110" s="88"/>
    </row>
    <row r="111" spans="4:17" ht="15" thickBot="1">
      <c r="F111" s="75"/>
      <c r="G111" s="1177"/>
      <c r="H111" s="1179"/>
      <c r="I111" s="1179"/>
      <c r="J111" s="1179"/>
      <c r="K111" s="1179"/>
      <c r="L111" s="1179"/>
      <c r="M111" s="1179"/>
      <c r="N111" s="1179"/>
      <c r="O111" s="1179"/>
      <c r="P111" s="1181"/>
      <c r="Q111" s="88"/>
    </row>
    <row r="112" spans="4:17" ht="15" thickTop="1">
      <c r="F112" s="75"/>
      <c r="Q112" s="88"/>
    </row>
    <row r="113" spans="6:17" ht="15" thickBot="1">
      <c r="F113" s="92"/>
      <c r="G113" s="99"/>
      <c r="H113" s="99"/>
      <c r="I113" s="99"/>
      <c r="J113" s="99"/>
      <c r="K113" s="99"/>
      <c r="L113" s="99"/>
      <c r="M113" s="99"/>
      <c r="N113" s="99"/>
      <c r="O113" s="99"/>
      <c r="P113" s="99"/>
      <c r="Q113" s="807"/>
    </row>
    <row r="114" spans="6:17" ht="15" thickTop="1"/>
    <row r="116" spans="6:17" ht="26.6" thickBot="1">
      <c r="J116" s="1275"/>
    </row>
    <row r="117" spans="6:17" ht="15.75" customHeight="1" thickTop="1">
      <c r="H117" s="2376" t="s">
        <v>1534</v>
      </c>
      <c r="I117" s="2377"/>
      <c r="J117" s="2377"/>
      <c r="K117" s="2377"/>
      <c r="L117" s="2377"/>
      <c r="M117" s="2377"/>
      <c r="N117" s="2378"/>
    </row>
    <row r="118" spans="6:17" ht="15.75" customHeight="1" thickBot="1">
      <c r="H118" s="2379"/>
      <c r="I118" s="2380"/>
      <c r="J118" s="2380"/>
      <c r="K118" s="2380"/>
      <c r="L118" s="2380"/>
      <c r="M118" s="2380"/>
      <c r="N118" s="2381"/>
    </row>
    <row r="119" spans="6:17" ht="15.75" customHeight="1" thickTop="1">
      <c r="H119" s="2352" t="s">
        <v>1444</v>
      </c>
      <c r="I119" s="2353"/>
      <c r="J119" s="2353"/>
      <c r="K119" s="2353"/>
      <c r="L119" s="2353"/>
      <c r="M119" s="2353"/>
      <c r="N119" s="2382"/>
    </row>
    <row r="120" spans="6:17" ht="15.75" customHeight="1" thickBot="1">
      <c r="H120" s="2354"/>
      <c r="I120" s="2355"/>
      <c r="J120" s="2355"/>
      <c r="K120" s="2355"/>
      <c r="L120" s="2355"/>
      <c r="M120" s="2355"/>
      <c r="N120" s="2383"/>
    </row>
    <row r="121" spans="6:17" ht="19.3" thickTop="1" thickBot="1">
      <c r="H121" s="2346" t="s">
        <v>1644</v>
      </c>
      <c r="I121" s="2347"/>
      <c r="J121" s="1326" t="s">
        <v>1443</v>
      </c>
      <c r="K121" s="1327"/>
      <c r="L121" s="1327"/>
      <c r="M121" s="1327"/>
      <c r="N121" s="1328"/>
    </row>
    <row r="122" spans="6:17" ht="16.75" thickTop="1" thickBot="1">
      <c r="H122" s="2348"/>
      <c r="I122" s="2349"/>
      <c r="J122" s="1286" t="s">
        <v>1431</v>
      </c>
      <c r="K122" s="1287" t="s">
        <v>1432</v>
      </c>
      <c r="L122" s="1288" t="s">
        <v>1433</v>
      </c>
      <c r="M122" s="1289" t="s">
        <v>1434</v>
      </c>
      <c r="N122" s="1290" t="s">
        <v>1435</v>
      </c>
    </row>
    <row r="123" spans="6:17" ht="16.75" thickTop="1" thickBot="1">
      <c r="H123" s="2350"/>
      <c r="I123" s="2351"/>
      <c r="J123" s="1291" t="s">
        <v>348</v>
      </c>
      <c r="K123" s="1292" t="s">
        <v>238</v>
      </c>
      <c r="L123" s="1293" t="s">
        <v>260</v>
      </c>
      <c r="M123" s="1294" t="s">
        <v>261</v>
      </c>
      <c r="N123" s="1295" t="s">
        <v>235</v>
      </c>
    </row>
    <row r="124" spans="6:17" ht="16.75" thickTop="1" thickBot="1">
      <c r="H124" s="1296" t="s">
        <v>1435</v>
      </c>
      <c r="I124" s="1297" t="s">
        <v>235</v>
      </c>
      <c r="J124" s="1329" t="s">
        <v>1568</v>
      </c>
      <c r="K124" s="684" t="s">
        <v>1569</v>
      </c>
      <c r="L124" s="685" t="s">
        <v>1570</v>
      </c>
      <c r="M124" s="686" t="s">
        <v>1571</v>
      </c>
      <c r="N124" s="687" t="s">
        <v>1572</v>
      </c>
    </row>
    <row r="125" spans="6:17" ht="16.75" thickTop="1" thickBot="1">
      <c r="H125" s="1303" t="s">
        <v>1434</v>
      </c>
      <c r="I125" s="1304" t="s">
        <v>261</v>
      </c>
      <c r="J125" s="688" t="s">
        <v>1573</v>
      </c>
      <c r="K125" s="689" t="s">
        <v>1574</v>
      </c>
      <c r="L125" s="689" t="s">
        <v>1575</v>
      </c>
      <c r="M125" s="690" t="s">
        <v>1576</v>
      </c>
      <c r="N125" s="1330" t="s">
        <v>1577</v>
      </c>
    </row>
    <row r="126" spans="6:17" ht="16.75" thickTop="1" thickBot="1">
      <c r="H126" s="1309" t="s">
        <v>1433</v>
      </c>
      <c r="I126" s="1310" t="s">
        <v>260</v>
      </c>
      <c r="J126" s="688" t="s">
        <v>1578</v>
      </c>
      <c r="K126" s="1331" t="s">
        <v>1579</v>
      </c>
      <c r="L126" s="689" t="s">
        <v>1580</v>
      </c>
      <c r="M126" s="689" t="s">
        <v>1575</v>
      </c>
      <c r="N126" s="693" t="s">
        <v>1581</v>
      </c>
    </row>
    <row r="127" spans="6:17" ht="16.75" thickTop="1" thickBot="1">
      <c r="H127" s="1313" t="s">
        <v>1432</v>
      </c>
      <c r="I127" s="1314" t="s">
        <v>238</v>
      </c>
      <c r="J127" s="694" t="s">
        <v>1582</v>
      </c>
      <c r="K127" s="692" t="s">
        <v>1583</v>
      </c>
      <c r="L127" s="1331" t="s">
        <v>1579</v>
      </c>
      <c r="M127" s="689" t="s">
        <v>1584</v>
      </c>
      <c r="N127" s="695" t="s">
        <v>1569</v>
      </c>
    </row>
    <row r="128" spans="6:17" ht="16.75" thickTop="1" thickBot="1">
      <c r="H128" s="1316" t="s">
        <v>1436</v>
      </c>
      <c r="I128" s="1317" t="s">
        <v>348</v>
      </c>
      <c r="J128" s="696" t="s">
        <v>1585</v>
      </c>
      <c r="K128" s="697" t="s">
        <v>1582</v>
      </c>
      <c r="L128" s="698" t="s">
        <v>1578</v>
      </c>
      <c r="M128" s="698" t="s">
        <v>1573</v>
      </c>
      <c r="N128" s="699" t="s">
        <v>1568</v>
      </c>
    </row>
    <row r="129" ht="15" thickTop="1"/>
  </sheetData>
  <mergeCells count="13">
    <mergeCell ref="H121:I123"/>
    <mergeCell ref="D2:P3"/>
    <mergeCell ref="D30:G31"/>
    <mergeCell ref="H30:P30"/>
    <mergeCell ref="L52:N52"/>
    <mergeCell ref="L58:N58"/>
    <mergeCell ref="J90:N90"/>
    <mergeCell ref="G91:I91"/>
    <mergeCell ref="G106:K106"/>
    <mergeCell ref="H117:N118"/>
    <mergeCell ref="H119:N120"/>
    <mergeCell ref="N4:O4"/>
    <mergeCell ref="D49:Q49"/>
  </mergeCells>
  <dataValidations count="2">
    <dataValidation type="list" allowBlank="1" showInputMessage="1" showErrorMessage="1" sqref="J102:J103" xr:uid="{00000000-0002-0000-1700-000000000000}">
      <formula1>"1,2,3,4,5,6"</formula1>
    </dataValidation>
    <dataValidation type="list" allowBlank="1" showInputMessage="1" showErrorMessage="1" sqref="H102:H103" xr:uid="{00000000-0002-0000-1700-000001000000}">
      <formula1>$H$94:$H$98</formula1>
    </dataValidation>
  </dataValidations>
  <hyperlinks>
    <hyperlink ref="N4" r:id="rId1" xr:uid="{00000000-0004-0000-1700-000000000000}"/>
    <hyperlink ref="J7" r:id="rId2" xr:uid="{00000000-0004-0000-1700-000001000000}"/>
    <hyperlink ref="M7" r:id="rId3" xr:uid="{00000000-0004-0000-1700-000002000000}"/>
    <hyperlink ref="N7" r:id="rId4" xr:uid="{00000000-0004-0000-1700-000003000000}"/>
  </hyperlinks>
  <pageMargins left="0.7" right="0.7" top="0.75" bottom="0.75" header="0.3" footer="0.3"/>
  <pageSetup orientation="portrait" verticalDpi="0" r:id="rId5"/>
  <drawing r:id="rId6"/>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tabColor rgb="FFFFC000"/>
  </sheetPr>
  <dimension ref="A1:L24"/>
  <sheetViews>
    <sheetView topLeftCell="C1" workbookViewId="0"/>
  </sheetViews>
  <sheetFormatPr defaultRowHeight="14.6"/>
  <cols>
    <col min="2" max="2" width="10.69140625" customWidth="1"/>
    <col min="3" max="7" width="24.69140625" customWidth="1"/>
    <col min="8" max="13" width="20.69140625" customWidth="1"/>
    <col min="14" max="16" width="24.69140625" customWidth="1"/>
    <col min="26" max="26" width="19" customWidth="1"/>
  </cols>
  <sheetData>
    <row r="1" spans="2:12" ht="15" thickBot="1"/>
    <row r="2" spans="2:12" ht="76.5" customHeight="1" thickTop="1">
      <c r="C2" s="2271" t="str">
        <f>VLOOKUP($C$7,$C$17:$G$22,5,FALSE)</f>
        <v>Description: 
Adversary is somewhat likely to initiate the threat event.</v>
      </c>
      <c r="D2" s="2272"/>
    </row>
    <row r="3" spans="2:12" ht="16.5" customHeight="1">
      <c r="C3" s="2273"/>
      <c r="D3" s="2274"/>
      <c r="L3" t="s">
        <v>1001</v>
      </c>
    </row>
    <row r="4" spans="2:12" ht="15" thickBot="1">
      <c r="C4" s="2275"/>
      <c r="D4" s="2276"/>
      <c r="L4" t="s">
        <v>1000</v>
      </c>
    </row>
    <row r="5" spans="2:12" ht="15.45" thickTop="1" thickBot="1">
      <c r="C5" s="2277" t="str">
        <f>IF(C28,"G2_Error: Click for Mean Value or Redo SME Rating","")</f>
        <v/>
      </c>
      <c r="D5" s="2278"/>
      <c r="E5" s="6"/>
      <c r="H5" s="31"/>
      <c r="L5" s="631" t="s">
        <v>999</v>
      </c>
    </row>
    <row r="6" spans="2:12" ht="15.45" thickTop="1" thickBot="1">
      <c r="C6" s="44" t="s">
        <v>133</v>
      </c>
      <c r="D6" s="51" t="s">
        <v>135</v>
      </c>
      <c r="K6" s="532" t="s">
        <v>1288</v>
      </c>
      <c r="L6" s="82">
        <f>IF( OR(NOT(Adversarial),Work!AW12 ),"n/a",VALUE(CONCATENATE("0",IF(Work!$AW$8='G2'!$C$18,3,""),IF(Work!$AW$8='G2'!$C$19,13,""),IF(Work!$AW$8='G2'!$C$20,51,""),IF(Work!$AW$8='G2'!$C$21,88,""),IF(Work!$AW$8='G2'!$C$22,98,""))))</f>
        <v>13</v>
      </c>
    </row>
    <row r="7" spans="2:12" ht="15.45" thickTop="1" thickBot="1">
      <c r="B7" s="534"/>
      <c r="C7" s="36" t="s">
        <v>129</v>
      </c>
      <c r="D7" s="53">
        <v>3</v>
      </c>
      <c r="E7" s="535"/>
      <c r="L7" s="86"/>
    </row>
    <row r="8" spans="2:12" ht="15" thickTop="1"/>
    <row r="15" spans="2:12" ht="15" thickBot="1"/>
    <row r="16" spans="2:12" ht="15.45" thickTop="1" thickBot="1">
      <c r="C16" s="61" t="s">
        <v>48</v>
      </c>
      <c r="D16" s="62" t="s">
        <v>103</v>
      </c>
      <c r="E16" s="62" t="s">
        <v>104</v>
      </c>
      <c r="F16" s="62" t="s">
        <v>117</v>
      </c>
      <c r="G16" s="55" t="s">
        <v>102</v>
      </c>
      <c r="H16" s="64"/>
      <c r="I16" s="64"/>
      <c r="J16" s="64"/>
      <c r="K16" s="1936"/>
    </row>
    <row r="17" spans="1:11" ht="34" customHeight="1" thickTop="1" thickBot="1">
      <c r="A17" s="23"/>
      <c r="B17" s="38"/>
      <c r="C17" s="39" t="s">
        <v>181</v>
      </c>
      <c r="D17" s="21">
        <v>-3</v>
      </c>
      <c r="E17" s="21">
        <v>-1</v>
      </c>
      <c r="F17" s="21">
        <v>-2</v>
      </c>
      <c r="G17" s="2292" t="s">
        <v>1827</v>
      </c>
      <c r="H17" s="2301"/>
      <c r="I17" s="2301"/>
      <c r="J17" s="2301"/>
      <c r="K17" s="1937"/>
    </row>
    <row r="18" spans="1:11" ht="34" customHeight="1" thickTop="1">
      <c r="A18" s="23"/>
      <c r="B18" s="38"/>
      <c r="C18" s="41" t="s">
        <v>131</v>
      </c>
      <c r="D18" s="42">
        <v>0</v>
      </c>
      <c r="E18" s="42">
        <v>5</v>
      </c>
      <c r="F18" s="42">
        <v>3</v>
      </c>
      <c r="G18" s="2241" t="s">
        <v>2143</v>
      </c>
      <c r="H18" s="2242"/>
      <c r="I18" s="2242"/>
      <c r="J18" s="2242"/>
      <c r="K18" s="1938"/>
    </row>
    <row r="19" spans="1:11" ht="34" customHeight="1">
      <c r="A19" s="23"/>
      <c r="B19" s="38"/>
      <c r="C19" s="40" t="s">
        <v>130</v>
      </c>
      <c r="D19" s="20">
        <v>5</v>
      </c>
      <c r="E19" s="20">
        <v>21</v>
      </c>
      <c r="F19" s="20">
        <v>13</v>
      </c>
      <c r="G19" s="2265" t="s">
        <v>2144</v>
      </c>
      <c r="H19" s="2266"/>
      <c r="I19" s="2266"/>
      <c r="J19" s="2266"/>
      <c r="K19" s="1938"/>
    </row>
    <row r="20" spans="1:11" ht="34" customHeight="1">
      <c r="A20" s="23"/>
      <c r="B20" s="38"/>
      <c r="C20" s="40" t="s">
        <v>129</v>
      </c>
      <c r="D20" s="20">
        <v>21</v>
      </c>
      <c r="E20" s="20">
        <v>80</v>
      </c>
      <c r="F20" s="20">
        <v>51</v>
      </c>
      <c r="G20" s="2265" t="s">
        <v>2145</v>
      </c>
      <c r="H20" s="2266"/>
      <c r="I20" s="2266"/>
      <c r="J20" s="2266"/>
      <c r="K20" s="1938"/>
    </row>
    <row r="21" spans="1:11" ht="34" customHeight="1" thickBot="1">
      <c r="A21" s="23"/>
      <c r="B21" s="38"/>
      <c r="C21" s="40" t="s">
        <v>128</v>
      </c>
      <c r="D21" s="20">
        <v>80</v>
      </c>
      <c r="E21" s="20">
        <v>96</v>
      </c>
      <c r="F21" s="20">
        <v>88</v>
      </c>
      <c r="G21" s="2265" t="s">
        <v>2146</v>
      </c>
      <c r="H21" s="2266"/>
      <c r="I21" s="2266"/>
      <c r="J21" s="2266"/>
      <c r="K21" s="1938"/>
    </row>
    <row r="22" spans="1:11" ht="34" customHeight="1" thickTop="1" thickBot="1">
      <c r="A22" s="23"/>
      <c r="B22" s="38"/>
      <c r="C22" s="63" t="s">
        <v>145</v>
      </c>
      <c r="D22" s="4">
        <v>96</v>
      </c>
      <c r="E22" s="4">
        <v>100</v>
      </c>
      <c r="F22" s="4">
        <v>98</v>
      </c>
      <c r="G22" s="2244" t="s">
        <v>941</v>
      </c>
      <c r="H22" s="2245"/>
      <c r="I22" s="2245"/>
      <c r="J22" s="2245"/>
      <c r="K22" s="1938"/>
    </row>
    <row r="23" spans="1:11" ht="34" customHeight="1" thickTop="1" thickBot="1">
      <c r="A23" s="23"/>
      <c r="C23" s="11"/>
      <c r="D23" s="11"/>
      <c r="E23" s="11"/>
      <c r="F23" s="11" t="s">
        <v>1279</v>
      </c>
      <c r="G23" s="1904" t="s">
        <v>1271</v>
      </c>
      <c r="H23" s="1905"/>
      <c r="I23" s="1905"/>
      <c r="J23" s="1905"/>
      <c r="K23" s="1938"/>
    </row>
    <row r="24" spans="1:11" ht="15" thickTop="1"/>
  </sheetData>
  <mergeCells count="8">
    <mergeCell ref="G20:J20"/>
    <mergeCell ref="G21:J21"/>
    <mergeCell ref="G22:J22"/>
    <mergeCell ref="C2:D4"/>
    <mergeCell ref="C5:D5"/>
    <mergeCell ref="G17:J17"/>
    <mergeCell ref="G18:J18"/>
    <mergeCell ref="G19:J19"/>
  </mergeCells>
  <conditionalFormatting sqref="D6:D7">
    <cfRule type="expression" dxfId="104" priority="16">
      <formula>SME_Rating_D3</formula>
    </cfRule>
  </conditionalFormatting>
  <conditionalFormatting sqref="C5:D5">
    <cfRule type="expression" dxfId="103" priority="15">
      <formula>SME_Rating_D3</formula>
    </cfRule>
  </conditionalFormatting>
  <dataValidations count="4">
    <dataValidation type="list" allowBlank="1" showErrorMessage="1" sqref="C7" xr:uid="{00000000-0002-0000-1800-000000000000}">
      <formula1>C17:C22</formula1>
    </dataValidation>
    <dataValidation type="list" allowBlank="1" showErrorMessage="1" sqref="M7" xr:uid="{00000000-0002-0000-1800-000001000000}">
      <formula1>$C$17:$C$22</formula1>
    </dataValidation>
    <dataValidation type="list" allowBlank="1" showInputMessage="1" sqref="D7" xr:uid="{00000000-0002-0000-1800-000002000000}">
      <formula1>$M$28</formula1>
    </dataValidation>
    <dataValidation type="list" allowBlank="1" sqref="N7" xr:uid="{00000000-0002-0000-1800-000003000000}">
      <formula1>L6</formula1>
    </dataValidation>
  </dataValidations>
  <pageMargins left="0.7" right="0.7" top="0.75" bottom="0.75" header="0.3" footer="0.3"/>
  <pageSetup orientation="portrait" verticalDpi="0" r:id="rId1"/>
  <drawing r:id="rId2"/>
  <legacyDrawing r:id="rId3"/>
  <extLst>
    <ext xmlns:x14="http://schemas.microsoft.com/office/spreadsheetml/2009/9/main" uri="{78C0D931-6437-407d-A8EE-F0AAD7539E65}">
      <x14:conditionalFormattings>
        <x14:conditionalFormatting xmlns:xm="http://schemas.microsoft.com/office/excel/2006/main">
          <x14:cfRule type="containsText" priority="2" operator="containsText" text="(Low)" id="{B29292BB-F58A-4861-9B50-9B4B80A65ABE}">
            <xm:f>NOT(ISERROR(SEARCH("(Low)",'D3'!C7)))</xm:f>
            <x14:dxf>
              <font>
                <b/>
                <i val="0"/>
              </font>
              <fill>
                <patternFill>
                  <bgColor theme="9" tint="0.59996337778862885"/>
                </patternFill>
              </fill>
            </x14:dxf>
          </x14:cfRule>
          <x14:cfRule type="containsText" priority="3" operator="containsText" text="Moderate" id="{D76FF55A-AD54-460D-88A7-45CF895F6C5B}">
            <xm:f>NOT(ISERROR(SEARCH("Moderate",'D3'!C7)))</xm:f>
            <x14:dxf>
              <font>
                <b/>
                <i val="0"/>
              </font>
              <fill>
                <patternFill>
                  <bgColor rgb="FFFFFF00"/>
                </patternFill>
              </fill>
            </x14:dxf>
          </x14:cfRule>
          <x14:cfRule type="containsText" priority="4" operator="containsText" text="(High)" id="{1C0122F6-9EF7-47EA-B3DC-A3B2BAC26489}">
            <xm:f>NOT(ISERROR(SEARCH("(High)",'D3'!C7)))</xm:f>
            <x14:dxf>
              <font>
                <b/>
                <i val="0"/>
              </font>
              <fill>
                <patternFill>
                  <bgColor rgb="FFFF7C80"/>
                </patternFill>
              </fill>
            </x14:dxf>
          </x14:cfRule>
          <x14:cfRule type="containsText" priority="5" operator="containsText" text="(Very High)" id="{D2E03909-75FF-4DEF-B044-E7998DF5FF47}">
            <xm:f>NOT(ISERROR(SEARCH("(Very High)",'D3'!C7)))</xm:f>
            <x14:dxf>
              <font>
                <b/>
                <i val="0"/>
              </font>
              <fill>
                <patternFill>
                  <bgColor rgb="FFFF0000"/>
                </patternFill>
              </fill>
            </x14:dxf>
          </x14:cfRule>
          <x14:cfRule type="containsText" priority="17" operator="containsText" text="(Very Low)" id="{A011F600-B227-48D0-946D-D3BFE50E532B}">
            <xm:f>NOT(ISERROR(SEARCH("(Very Low)",'D3'!C7)))</xm:f>
            <x14:dxf>
              <font>
                <b/>
                <i val="0"/>
              </font>
              <fill>
                <patternFill>
                  <bgColor rgb="FF92D050"/>
                </patternFill>
              </fill>
            </x14:dxf>
          </x14:cfRule>
          <xm:sqref>C7</xm:sqref>
        </x14:conditionalFormatting>
        <x14:conditionalFormatting xmlns:xm="http://schemas.microsoft.com/office/excel/2006/main">
          <x14:cfRule type="expression" priority="2460" id="{334C5A6F-DD0B-414B-9A4B-0C330F71EF89}">
            <xm:f>OR(AND(IF('D3'!$C$7='D3'!$C$31,1,0),OR(IF('D3'!$D$7&lt;'D3'!$D$31,1,0),IF('D3'!$D$7&gt;='D3'!$E$31,1,0))),  AND(IF('D3'!$C$7='D3'!$C$32,1,0),OR(IF('D3'!$D$7&lt;'D3'!$D$32,1,0),IF('D3'!$D$7&gt;='D3'!$E$32,1,0))),  AND(IF('D3'!$C$7='D3'!$C$33,1,0),OR(IF('D3'!$D$7&lt;'D3'!$D$33,1,0),IF('D3'!$D$7&gt;='D3'!$E$33,1,0))),  AND(IF('D3'!$C$7='D3'!$C$34,1,0),OR(IF('D3'!$D$7&lt;'D3'!$D$34,1,0),IF('D3'!$D$7&gt;='D3'!$E$34,1,0))),  AND(IF('D3'!$C$7='D3'!$C$35,1,0),OR(IF('D3'!$D$7&lt;'D3'!$D$35,1,0),IF('D3'!$D$7&gt;'D3'!$E$35&gt;'D3'!#REF!,1,0))))</xm:f>
            <x14:dxf>
              <font>
                <b/>
                <i val="0"/>
                <strike val="0"/>
                <color rgb="FFC00000"/>
              </font>
              <fill>
                <patternFill>
                  <bgColor rgb="FFFFC000"/>
                </patternFill>
              </fill>
            </x14:dxf>
          </x14:cfRule>
          <xm:sqref>D7</xm:sqref>
        </x14:conditionalFormatting>
      </x14:conditionalFormattings>
    </ext>
  </extLst>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tabColor rgb="FFFFC000"/>
  </sheetPr>
  <dimension ref="A1:BJ68"/>
  <sheetViews>
    <sheetView workbookViewId="0">
      <selection activeCell="H39" sqref="H38:H39"/>
    </sheetView>
  </sheetViews>
  <sheetFormatPr defaultRowHeight="14.6"/>
  <cols>
    <col min="2" max="2" width="10.69140625" customWidth="1"/>
    <col min="3" max="7" width="24.69140625" customWidth="1"/>
    <col min="8" max="10" width="20.69140625" customWidth="1"/>
    <col min="11" max="11" width="157.15234375" customWidth="1"/>
    <col min="12" max="13" width="20.69140625" customWidth="1"/>
    <col min="14" max="16" width="24.69140625" customWidth="1"/>
    <col min="26" max="26" width="19" customWidth="1"/>
  </cols>
  <sheetData>
    <row r="1" spans="2:62" ht="15" thickBot="1"/>
    <row r="2" spans="2:62" ht="76.5" customHeight="1" thickTop="1">
      <c r="C2" s="2271" t="str">
        <f>VLOOKUP($C$7,$C$17:$G$22,5,FALSE)</f>
        <v>Description: Error, accident, or act of nature is highly unlikely to occur; or occurs less than once every 10 years.</v>
      </c>
      <c r="D2" s="2272"/>
    </row>
    <row r="3" spans="2:62" ht="16.5" customHeight="1" thickBot="1">
      <c r="C3" s="2273"/>
      <c r="D3" s="2274"/>
    </row>
    <row r="4" spans="2:62" ht="15.45" thickTop="1" thickBot="1">
      <c r="C4" s="2275"/>
      <c r="D4" s="2276"/>
      <c r="Q4" s="760" t="s">
        <v>1095</v>
      </c>
    </row>
    <row r="5" spans="2:62" ht="15.45" thickTop="1" thickBot="1">
      <c r="C5" s="2277" t="str">
        <f>IF(SME_Rating_D3,"D3_Error: Click for Mean Value or Redo SME Rating","")</f>
        <v/>
      </c>
      <c r="D5" s="2278"/>
      <c r="E5" s="6"/>
      <c r="H5" s="31"/>
      <c r="M5" s="6" t="s">
        <v>786</v>
      </c>
      <c r="Q5" s="4">
        <f>IF( OR( NOT(Adversarial),(Work!$AY$8='G3'!$C$17) ),"n/a",VALUE(CONCATENATE("0",IF(Work!$AY$8='G3'!$C$18,3,""),IF(Work!$AY$8='G3'!$C$19,13,""),IF(Work!$AY$8='G3'!$C$20,51,""),IF(Work!$AY$8='G3'!$C$21,88,""),IF(Work!$AY$8='G3'!$C$22,98,""))))</f>
        <v>0</v>
      </c>
    </row>
    <row r="6" spans="2:62" ht="15.45" thickTop="1" thickBot="1">
      <c r="C6" s="44" t="s">
        <v>133</v>
      </c>
      <c r="D6" s="51" t="s">
        <v>135</v>
      </c>
      <c r="M6" s="125" t="s">
        <v>133</v>
      </c>
      <c r="N6" s="122" t="s">
        <v>172</v>
      </c>
      <c r="Q6" s="631" t="s">
        <v>1094</v>
      </c>
    </row>
    <row r="7" spans="2:62" ht="15.45" thickTop="1" thickBot="1">
      <c r="B7" s="534"/>
      <c r="C7" s="36" t="s">
        <v>131</v>
      </c>
      <c r="D7" s="53">
        <v>3</v>
      </c>
      <c r="E7" s="535"/>
      <c r="L7" s="534" t="s">
        <v>791</v>
      </c>
      <c r="M7" s="126" t="s">
        <v>131</v>
      </c>
      <c r="N7" s="457">
        <v>3</v>
      </c>
      <c r="O7" s="6" t="s">
        <v>166</v>
      </c>
      <c r="P7" s="532" t="s">
        <v>1093</v>
      </c>
      <c r="Q7" s="169" t="str">
        <f>IF( OR( (Adversarial),(Work!$AY$8='G3'!$C$17) ),"n/a",VALUE(CONCATENATE("0",IF(Work!$AY$8='G3'!$C$18,3,""),IF(Work!$AY$8='G3'!$C$19,13,""),IF(Work!$AY$8='G3'!$C$20,51,""),IF(Work!$AY$8='G3'!$C$21,88,""),IF(Work!$AY$8='G3'!$C$22,98,""))))</f>
        <v>n/a</v>
      </c>
    </row>
    <row r="8" spans="2:62" ht="15.45" thickTop="1" thickBot="1">
      <c r="L8" s="45"/>
      <c r="M8" s="45"/>
      <c r="N8" s="45"/>
      <c r="Q8" s="21"/>
    </row>
    <row r="9" spans="2:62" ht="15" thickTop="1">
      <c r="AC9" s="536" t="s">
        <v>1004</v>
      </c>
      <c r="AD9" s="630"/>
      <c r="AE9" s="580"/>
      <c r="AF9" s="580"/>
    </row>
    <row r="10" spans="2:62">
      <c r="AC10" s="630"/>
      <c r="AD10" s="630"/>
      <c r="AE10" s="580"/>
      <c r="AF10" s="580"/>
    </row>
    <row r="11" spans="2:62">
      <c r="AC11" s="536" t="s">
        <v>1005</v>
      </c>
      <c r="AD11" s="630"/>
      <c r="AE11" s="580"/>
      <c r="AF11" s="580"/>
    </row>
    <row r="12" spans="2:62">
      <c r="BJ12" t="s">
        <v>1267</v>
      </c>
    </row>
    <row r="15" spans="2:62" ht="15" thickBot="1">
      <c r="AA15" s="855"/>
      <c r="AB15" s="855"/>
      <c r="AC15" s="855"/>
      <c r="AD15" s="855"/>
      <c r="AE15" s="855"/>
      <c r="AF15" s="855"/>
      <c r="AG15" s="855"/>
      <c r="AH15" s="855"/>
      <c r="AI15" s="855"/>
      <c r="AJ15" s="855"/>
      <c r="AK15" s="855"/>
      <c r="AL15" s="855"/>
      <c r="AM15" s="855"/>
      <c r="AN15" s="855"/>
      <c r="AO15" s="855"/>
      <c r="AP15" s="855"/>
      <c r="AQ15" s="855"/>
      <c r="AR15" s="855"/>
      <c r="AS15" s="855"/>
      <c r="AT15" s="855"/>
      <c r="AU15" s="855"/>
      <c r="AV15" s="855"/>
      <c r="AW15" s="855"/>
      <c r="AX15" s="855"/>
      <c r="AY15" s="855"/>
      <c r="AZ15" s="855"/>
      <c r="BA15" s="855"/>
      <c r="BB15" s="855"/>
      <c r="BC15" s="855"/>
      <c r="BD15" s="855"/>
      <c r="BE15" s="855"/>
      <c r="BF15" s="855"/>
      <c r="BG15" s="855"/>
      <c r="BH15" s="855"/>
      <c r="BI15" s="855"/>
      <c r="BJ15" s="855"/>
    </row>
    <row r="16" spans="2:62" ht="15.45" thickTop="1" thickBot="1">
      <c r="C16" s="61" t="s">
        <v>48</v>
      </c>
      <c r="D16" s="62" t="s">
        <v>103</v>
      </c>
      <c r="E16" s="62" t="s">
        <v>104</v>
      </c>
      <c r="F16" s="62" t="s">
        <v>117</v>
      </c>
      <c r="G16" s="55" t="s">
        <v>102</v>
      </c>
      <c r="H16" s="64"/>
      <c r="I16" s="64"/>
      <c r="J16" s="64"/>
      <c r="K16" s="22"/>
      <c r="N16" s="536" t="s">
        <v>793</v>
      </c>
    </row>
    <row r="17" spans="1:62" ht="15.9" thickTop="1" thickBot="1">
      <c r="A17" s="23"/>
      <c r="B17" s="38"/>
      <c r="C17" s="39" t="s">
        <v>181</v>
      </c>
      <c r="D17" s="21">
        <v>-3</v>
      </c>
      <c r="E17" s="21">
        <v>-1</v>
      </c>
      <c r="F17" s="21">
        <v>-2</v>
      </c>
      <c r="G17" s="37" t="s">
        <v>127</v>
      </c>
      <c r="H17" s="49"/>
      <c r="I17" s="49"/>
      <c r="J17" s="49"/>
      <c r="K17" s="57"/>
      <c r="N17" s="537" t="s">
        <v>792</v>
      </c>
    </row>
    <row r="18" spans="1:62" ht="15.45" thickTop="1">
      <c r="A18" s="23"/>
      <c r="B18" s="38"/>
      <c r="C18" s="41" t="s">
        <v>131</v>
      </c>
      <c r="D18" s="42">
        <v>0</v>
      </c>
      <c r="E18" s="42">
        <v>5</v>
      </c>
      <c r="F18" s="42">
        <v>3</v>
      </c>
      <c r="G18" s="58" t="s">
        <v>942</v>
      </c>
      <c r="H18" s="65"/>
      <c r="I18" s="66"/>
      <c r="J18" s="66"/>
      <c r="K18" s="67"/>
    </row>
    <row r="19" spans="1:62" ht="15">
      <c r="A19" s="23"/>
      <c r="B19" s="38"/>
      <c r="C19" s="40" t="s">
        <v>130</v>
      </c>
      <c r="D19" s="20">
        <v>5</v>
      </c>
      <c r="E19" s="20">
        <v>21</v>
      </c>
      <c r="F19" s="20">
        <v>13</v>
      </c>
      <c r="G19" s="46" t="s">
        <v>943</v>
      </c>
      <c r="H19" s="49"/>
      <c r="I19" s="49"/>
      <c r="J19" s="49"/>
      <c r="K19" s="57"/>
      <c r="Z19" s="43"/>
      <c r="AA19" s="43"/>
      <c r="AB19" s="43"/>
      <c r="AC19" s="43"/>
      <c r="AD19" s="43"/>
      <c r="AE19" s="43"/>
      <c r="AF19" s="43"/>
      <c r="AG19" s="43"/>
      <c r="AH19" s="43"/>
      <c r="AI19" s="43"/>
      <c r="AJ19" s="43"/>
      <c r="AK19" s="43"/>
      <c r="AL19" s="43"/>
      <c r="AM19" s="43"/>
      <c r="AN19" s="43"/>
      <c r="AO19" s="43"/>
      <c r="AP19" s="43"/>
      <c r="AQ19" s="43"/>
      <c r="AR19" s="43"/>
      <c r="AS19" s="43"/>
      <c r="AT19" s="43"/>
      <c r="AU19" s="43"/>
      <c r="AV19" s="43"/>
      <c r="AW19" s="43"/>
      <c r="AX19" s="43"/>
      <c r="AY19" s="43"/>
      <c r="AZ19" s="43"/>
      <c r="BA19" s="43"/>
      <c r="BB19" s="43"/>
      <c r="BC19" s="43"/>
      <c r="BD19" s="43"/>
      <c r="BE19" s="43"/>
      <c r="BF19" s="43"/>
      <c r="BG19" s="43"/>
      <c r="BH19" s="43"/>
      <c r="BI19" s="43"/>
      <c r="BJ19" s="43"/>
    </row>
    <row r="20" spans="1:62" ht="15">
      <c r="A20" s="23"/>
      <c r="B20" s="38"/>
      <c r="C20" s="40" t="s">
        <v>129</v>
      </c>
      <c r="D20" s="20">
        <v>21</v>
      </c>
      <c r="E20" s="20">
        <v>80</v>
      </c>
      <c r="F20" s="20">
        <v>51</v>
      </c>
      <c r="G20" s="46" t="s">
        <v>944</v>
      </c>
      <c r="H20" s="49"/>
      <c r="I20" s="49"/>
      <c r="J20" s="49"/>
      <c r="K20" s="57"/>
      <c r="L20" s="538" t="s">
        <v>134</v>
      </c>
      <c r="M20">
        <f>VALUE(CONCATENATE(IF('D3'!$C$7='D3'!$C$30,1111,""),IF('D3'!$C$7='D3'!$C$31,3,""),IF('D3'!$C$7='D3'!$C$32,13,""),IF('D3'!$C$7='D3'!$C$33,51,""),IF('D3'!$C$7='D3'!$C$34,88,""),IF('D3'!$C$7='D3'!$C$35,98,"")))</f>
        <v>13</v>
      </c>
    </row>
    <row r="21" spans="1:62" ht="15.45" thickBot="1">
      <c r="A21" s="23"/>
      <c r="B21" s="38"/>
      <c r="C21" s="40" t="s">
        <v>128</v>
      </c>
      <c r="D21" s="20">
        <v>80</v>
      </c>
      <c r="E21" s="20">
        <v>96</v>
      </c>
      <c r="F21" s="20">
        <v>88</v>
      </c>
      <c r="G21" s="59" t="s">
        <v>945</v>
      </c>
      <c r="H21" s="49"/>
      <c r="I21" s="49"/>
      <c r="J21" s="49"/>
      <c r="K21" s="57"/>
      <c r="L21" s="538" t="s">
        <v>134</v>
      </c>
      <c r="M21" t="s">
        <v>795</v>
      </c>
    </row>
    <row r="22" spans="1:62" ht="15.9" thickTop="1" thickBot="1">
      <c r="A22" s="23"/>
      <c r="B22" s="38"/>
      <c r="C22" s="63" t="s">
        <v>145</v>
      </c>
      <c r="D22" s="4">
        <v>96</v>
      </c>
      <c r="E22" s="4">
        <v>100</v>
      </c>
      <c r="F22" s="4">
        <v>98</v>
      </c>
      <c r="G22" s="47" t="s">
        <v>946</v>
      </c>
      <c r="H22" s="50"/>
      <c r="I22" s="50"/>
      <c r="J22" s="50"/>
      <c r="K22" s="60"/>
    </row>
    <row r="23" spans="1:62" ht="15.45" thickTop="1" thickBot="1">
      <c r="A23" s="23"/>
      <c r="C23" s="11"/>
      <c r="D23" s="11"/>
      <c r="E23" s="11"/>
      <c r="F23" s="11" t="s">
        <v>1279</v>
      </c>
      <c r="G23" s="895" t="s">
        <v>1271</v>
      </c>
      <c r="H23" s="895"/>
      <c r="I23" s="895"/>
      <c r="J23" s="895"/>
      <c r="K23" s="74"/>
      <c r="L23" s="533" t="s">
        <v>790</v>
      </c>
      <c r="M23" s="20">
        <f>IF( OR(NOT(Adversarial),(Work!$O$8='D3'!$C$30) ),"n/a",VALUE(CONCATENATE("0",IF(Work!$O$8='D3'!$C$31,3,""),IF(Work!$O$8='D3'!$C$32,13,""),IF(Work!$O$8='D3'!$C$33,51,""),IF(Work!$O$8='D3'!$C$34,88,""),IF(Work!$O$8='D3'!$C$35,98,""))))</f>
        <v>88</v>
      </c>
    </row>
    <row r="24" spans="1:62" ht="15" thickTop="1">
      <c r="L24" s="533" t="s">
        <v>790</v>
      </c>
      <c r="M24" s="2389" t="s">
        <v>794</v>
      </c>
      <c r="N24" s="2389"/>
      <c r="O24" s="2389"/>
      <c r="P24" s="2389"/>
      <c r="Q24" s="2389"/>
      <c r="R24" s="2389"/>
      <c r="S24" s="2389"/>
      <c r="T24" s="2389"/>
      <c r="U24" s="2389"/>
      <c r="V24" s="2389"/>
      <c r="W24" s="2389"/>
      <c r="X24" s="2389"/>
      <c r="Y24" s="2389"/>
      <c r="Z24" s="2389"/>
      <c r="AA24" s="2389"/>
      <c r="AB24" s="2389"/>
      <c r="AC24" s="2389"/>
      <c r="AD24" s="2389"/>
      <c r="AE24" s="2389"/>
      <c r="AF24" s="2389"/>
      <c r="AG24" s="2389"/>
      <c r="AH24" s="2389"/>
      <c r="AI24" s="2389"/>
      <c r="AJ24" s="2389"/>
      <c r="AK24" s="2389"/>
      <c r="AL24" s="2389"/>
      <c r="AM24" s="2389"/>
      <c r="AN24" s="2389"/>
      <c r="AO24" s="2389"/>
      <c r="AP24" s="2389"/>
      <c r="AQ24" s="2389"/>
      <c r="AR24" s="2389"/>
    </row>
    <row r="60" spans="2:44">
      <c r="C60">
        <f>IF( OR(NOT(Adversarial),(Work!$O$8='G2'!$C$17) ),"n/a",VALUE(CONCATENATE("0",IF(Work!$O$8='G2'!$C$18,3,""),IF(Work!$O$8='G2'!$C$19,13,""),IF(Work!$O$8='G2'!$C$20,51,""),IF(Work!$O$8='G2'!$C$21,88,""),IF(Work!$O$8='G2'!$C$22,98,""))))</f>
        <v>88</v>
      </c>
      <c r="D60" t="s">
        <v>998</v>
      </c>
    </row>
    <row r="61" spans="2:44">
      <c r="B61" s="629"/>
      <c r="C61" s="591" t="str">
        <f>IF( OR( (Adversarial),(Work!$AY$8='G3'!$C$17) ),"n/a",VALUE(CONCATENATE("0",IF(Work!$AY$8='G3'!$C$18,3,""),IF(Work!$AY$8='G3'!$C$19,13,""),IF(Work!$AY$8='G3'!$C$20,51,""),IF(Work!$AY$8='G3'!$C$21,88,""),IF(Work!$AY$8='G3'!$C$22,98,""))))</f>
        <v>n/a</v>
      </c>
      <c r="D61" t="s">
        <v>1266</v>
      </c>
    </row>
    <row r="63" spans="2:44">
      <c r="C63" t="s">
        <v>1002</v>
      </c>
      <c r="D63" t="b">
        <f>OR(IF(Work!$O$8='D3'!$C$30,1,0),AND(IF(Work!$O$8='D3'!$C$31,1,0),OR(IF(Work!$P$8&lt;'D3'!$D$31,1,0),IF(Work!$P$8&gt;='D3'!$E$31,1,0))),  AND(IF(Work!$O$8='D3'!$C$32,1,0),OR(IF(Work!$P$8&lt;'D3'!$D$32,1,0),IF(Work!$P$8&gt;='D3'!$E$32,1,0))),    AND(IF(Work!$O$8='D3'!$C$33,1,0),OR(IF(Work!$P$8&lt;'D3'!$D$33,1,0),IF(Work!$P$8&gt;='D3'!$E$33,1,0))),  AND(IF(Work!$O$8='D3'!$C$34,1,0),OR(IF(Work!$P$8&lt;'D3'!$D$34,1,0),IF(Work!$P$8&gt;='D3'!$E$34,1,0))),  AND(IF(Work!$O$8='D3'!$C$35,1,0),OR(IF(Work!$P$8&lt;'D3'!$D$35,1,0),IF(Work!$P$8&gt;'D3'!$E$35,1,0))))</f>
        <v>0</v>
      </c>
      <c r="E63" s="2391" t="s">
        <v>1007</v>
      </c>
      <c r="F63" s="2391"/>
      <c r="G63" s="2391"/>
      <c r="H63" s="2391"/>
      <c r="I63" s="2391"/>
      <c r="J63" s="2391"/>
      <c r="K63" s="2391"/>
      <c r="L63" s="2391"/>
      <c r="M63" s="2391"/>
      <c r="N63" s="2391"/>
      <c r="O63" s="2391"/>
      <c r="P63" s="2391"/>
      <c r="Q63" s="2391"/>
      <c r="R63" s="2391"/>
      <c r="S63" s="2391"/>
      <c r="T63" s="2391"/>
      <c r="U63" s="2391"/>
      <c r="V63" s="2391"/>
      <c r="W63" s="2391"/>
      <c r="X63" s="2391"/>
      <c r="Y63" s="2391"/>
      <c r="Z63" s="2391"/>
      <c r="AA63" s="2391"/>
      <c r="AB63" s="2391"/>
      <c r="AC63" s="2391"/>
      <c r="AD63" s="2391"/>
      <c r="AE63" s="2391"/>
      <c r="AF63" s="2391"/>
      <c r="AG63" s="2391"/>
      <c r="AH63" s="2391"/>
      <c r="AI63" s="2391"/>
      <c r="AJ63" s="2391"/>
      <c r="AK63" s="2391"/>
      <c r="AL63" s="2391"/>
      <c r="AM63" s="2391"/>
      <c r="AN63" s="2391"/>
      <c r="AO63" s="2391"/>
      <c r="AP63" s="2391"/>
      <c r="AQ63" s="2391"/>
      <c r="AR63" s="2391"/>
    </row>
    <row r="64" spans="2:44">
      <c r="C64" s="591" t="s">
        <v>1003</v>
      </c>
      <c r="D64" s="629" t="b">
        <f>OR(IF(Work!$AY$8='D3'!$C$30,1,0),AND(IF(Work!$AY$8='D3'!$C$31,1,0),OR(IF(Work!$AZ$8&lt;'D3'!$D$31,1,0),IF(Work!$AZ$8&gt;='D3'!$E$31,1,0))),  AND(IF(Work!$AY$8='D3'!$C$32,1,0),OR(IF(Work!$AZ$8&lt;'D3'!$D$32,1,0),IF(Work!$AZ$8&gt;='D3'!$E$32,1,0))),    AND(IF(Work!$AY$8='D3'!$C$33,1,0),OR(IF(Work!$AZ$8&lt;'D3'!$D$33,1,0),IF(Work!$AZ$8&gt;='D3'!$E$33,1,0))),  AND(IF(Work!$AY$8='D3'!$C$34,1,0),OR(IF(Work!$AZ$8&lt;'D3'!$D$34,1,0),IF(Work!$AZ$8&gt;='D3'!$E$34,1,0))),  AND(IF(Work!$AY$8='D3'!$C$35,1,0),OR(IF(Work!$AZ$8&lt;'D3'!$D$35,1,0), IF(Work!$AZ$8&gt;'D3'!$E$35,1,0))))</f>
        <v>0</v>
      </c>
      <c r="E64" s="2390" t="s">
        <v>1006</v>
      </c>
      <c r="F64" s="2390"/>
      <c r="G64" s="2390"/>
      <c r="H64" s="2390"/>
      <c r="I64" s="2390"/>
      <c r="J64" s="2390"/>
      <c r="K64" s="2390"/>
      <c r="L64" s="2390"/>
      <c r="M64" s="2390"/>
      <c r="N64" s="2390"/>
      <c r="O64" s="2390"/>
      <c r="P64" s="2390"/>
      <c r="Q64" s="2390"/>
      <c r="R64" s="2390"/>
      <c r="S64" s="2390"/>
      <c r="T64" s="2390"/>
      <c r="U64" s="2390"/>
      <c r="V64" s="2390"/>
      <c r="W64" s="2390"/>
      <c r="X64" s="2390"/>
      <c r="Y64" s="2390"/>
      <c r="Z64" s="2390"/>
      <c r="AA64" s="2390"/>
      <c r="AB64" s="2390"/>
      <c r="AC64" s="2390"/>
      <c r="AD64" s="2390"/>
      <c r="AE64" s="2390"/>
      <c r="AF64" s="2390"/>
      <c r="AG64" s="2390"/>
      <c r="AH64" s="2390"/>
      <c r="AI64" s="2390"/>
      <c r="AJ64" s="2390"/>
      <c r="AK64" s="2390"/>
      <c r="AL64" s="2390"/>
      <c r="AM64" s="2390"/>
      <c r="AN64" s="2390"/>
      <c r="AO64" s="2390"/>
      <c r="AP64" s="2390"/>
      <c r="AQ64" s="2390"/>
      <c r="AR64" s="2390"/>
    </row>
    <row r="65" spans="3:6">
      <c r="C65" s="501" t="e">
        <f>Work!#REF!</f>
        <v>#REF!</v>
      </c>
    </row>
    <row r="66" spans="3:6">
      <c r="E66" s="536" t="s">
        <v>1004</v>
      </c>
      <c r="F66" s="630"/>
    </row>
    <row r="67" spans="3:6">
      <c r="E67" s="630"/>
      <c r="F67" s="630"/>
    </row>
    <row r="68" spans="3:6">
      <c r="E68" s="536" t="s">
        <v>1005</v>
      </c>
      <c r="F68" s="630"/>
    </row>
  </sheetData>
  <mergeCells count="5">
    <mergeCell ref="C2:D4"/>
    <mergeCell ref="C5:D5"/>
    <mergeCell ref="M24:AR24"/>
    <mergeCell ref="E64:AR64"/>
    <mergeCell ref="E63:AR63"/>
  </mergeCells>
  <conditionalFormatting sqref="N6">
    <cfRule type="expression" dxfId="96" priority="14">
      <formula>SmeRatingD3</formula>
    </cfRule>
  </conditionalFormatting>
  <conditionalFormatting sqref="M6:N6">
    <cfRule type="expression" dxfId="95" priority="8">
      <formula>NOT(Adversarial)</formula>
    </cfRule>
  </conditionalFormatting>
  <conditionalFormatting sqref="D6:D7">
    <cfRule type="expression" dxfId="94" priority="16">
      <formula>SME_Rating_D3</formula>
    </cfRule>
  </conditionalFormatting>
  <conditionalFormatting sqref="C5:D5">
    <cfRule type="expression" dxfId="93" priority="15">
      <formula>SME_Rating_D3</formula>
    </cfRule>
  </conditionalFormatting>
  <dataValidations count="4">
    <dataValidation type="list" allowBlank="1" showErrorMessage="1" sqref="C7" xr:uid="{00000000-0002-0000-1900-000000000000}">
      <formula1>C17:C22</formula1>
    </dataValidation>
    <dataValidation type="list" allowBlank="1" showErrorMessage="1" sqref="M7" xr:uid="{00000000-0002-0000-1900-000001000000}">
      <formula1>$C$17:$C$22</formula1>
    </dataValidation>
    <dataValidation type="list" allowBlank="1" showInputMessage="1" sqref="D7" xr:uid="{00000000-0002-0000-1900-000002000000}">
      <formula1>$M$63</formula1>
    </dataValidation>
    <dataValidation type="list" allowBlank="1" sqref="N7" xr:uid="{00000000-0002-0000-1900-000003000000}">
      <formula1>Q7</formula1>
    </dataValidation>
  </dataValidations>
  <pageMargins left="0.7" right="0.7" top="0.75" bottom="0.75" header="0.3" footer="0.3"/>
  <drawing r:id="rId1"/>
  <legacyDrawing r:id="rId2"/>
  <extLst>
    <ext xmlns:x14="http://schemas.microsoft.com/office/spreadsheetml/2009/9/main" uri="{78C0D931-6437-407d-A8EE-F0AAD7539E65}">
      <x14:conditionalFormattings>
        <x14:conditionalFormatting xmlns:xm="http://schemas.microsoft.com/office/excel/2006/main">
          <x14:cfRule type="containsText" priority="2" operator="containsText" text="(Low)" id="{D87A3F0F-224B-4572-A7D4-8D23AC1677CA}">
            <xm:f>NOT(ISERROR(SEARCH("(Low)",'D3'!C7)))</xm:f>
            <x14:dxf>
              <font>
                <b/>
                <i val="0"/>
              </font>
              <fill>
                <patternFill>
                  <bgColor theme="9" tint="0.59996337778862885"/>
                </patternFill>
              </fill>
            </x14:dxf>
          </x14:cfRule>
          <x14:cfRule type="containsText" priority="3" operator="containsText" text="Moderate" id="{B2C9E873-C0DB-448B-80AE-F52AFF6C5BD7}">
            <xm:f>NOT(ISERROR(SEARCH("Moderate",'D3'!C7)))</xm:f>
            <x14:dxf>
              <font>
                <b/>
                <i val="0"/>
              </font>
              <fill>
                <patternFill>
                  <bgColor rgb="FFFFFF00"/>
                </patternFill>
              </fill>
            </x14:dxf>
          </x14:cfRule>
          <x14:cfRule type="containsText" priority="4" operator="containsText" text="(High)" id="{088F6066-7575-4764-A37D-6F33AEB4D1E2}">
            <xm:f>NOT(ISERROR(SEARCH("(High)",'D3'!C7)))</xm:f>
            <x14:dxf>
              <font>
                <b/>
                <i val="0"/>
              </font>
              <fill>
                <patternFill>
                  <bgColor rgb="FFFF7C80"/>
                </patternFill>
              </fill>
            </x14:dxf>
          </x14:cfRule>
          <x14:cfRule type="containsText" priority="5" operator="containsText" text="(Very High)" id="{3E67F8D5-99AB-4562-A2BB-014575B26817}">
            <xm:f>NOT(ISERROR(SEARCH("(Very High)",'D3'!C7)))</xm:f>
            <x14:dxf>
              <font>
                <b/>
                <i val="0"/>
              </font>
              <fill>
                <patternFill>
                  <bgColor rgb="FFFF0000"/>
                </patternFill>
              </fill>
            </x14:dxf>
          </x14:cfRule>
          <x14:cfRule type="containsText" priority="17" operator="containsText" text="(Very Low)" id="{4973294A-35BA-4525-95A4-6B003C31B5FF}">
            <xm:f>NOT(ISERROR(SEARCH("(Very Low)",'D3'!C7)))</xm:f>
            <x14:dxf>
              <font>
                <b/>
                <i val="0"/>
              </font>
              <fill>
                <patternFill>
                  <bgColor rgb="FF92D050"/>
                </patternFill>
              </fill>
            </x14:dxf>
          </x14:cfRule>
          <xm:sqref>C7 M7</xm:sqref>
        </x14:conditionalFormatting>
        <x14:conditionalFormatting xmlns:xm="http://schemas.microsoft.com/office/excel/2006/main">
          <x14:cfRule type="expression" priority="2471" id="{AA9854D5-273A-4F7F-83E8-DBC8235BBDED}">
            <xm:f>OR(AND(IF('D3'!$C$7='D3'!$C$31,1,0),OR(IF('D3'!$D$7&lt;'D3'!$D$31,1,0),IF('D3'!$D$7&gt;='D3'!$E$31,1,0))),  AND(IF('D3'!$C$7='D3'!$C$32,1,0),OR(IF('D3'!$D$7&lt;'D3'!$D$32,1,0),IF('D3'!$D$7&gt;='D3'!$E$32,1,0))),  AND(IF('D3'!$C$7='D3'!$C$33,1,0),OR(IF('D3'!$D$7&lt;'D3'!$D$33,1,0),IF('D3'!$D$7&gt;='D3'!$E$33,1,0))),  AND(IF('D3'!$C$7='D3'!$C$34,1,0),OR(IF('D3'!$D$7&lt;'D3'!$D$34,1,0),IF('D3'!$D$7&gt;='D3'!$E$34,1,0))),  AND(IF('D3'!$C$7='D3'!$C$35,1,0),OR(IF('D3'!$D$7&lt;'D3'!$D$35,1,0),IF('D3'!$D$7&gt;'D3'!$E$35&gt;'D3'!#REF!,1,0))))</xm:f>
            <x14:dxf>
              <font>
                <b/>
                <i val="0"/>
                <strike val="0"/>
                <color rgb="FFC00000"/>
              </font>
              <fill>
                <patternFill>
                  <bgColor rgb="FFFFC000"/>
                </patternFill>
              </fill>
            </x14:dxf>
          </x14:cfRule>
          <xm:sqref>D7</xm:sqref>
        </x14:conditionalFormatting>
      </x14:conditionalFormattings>
    </ext>
  </extLst>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rgb="FFFFC000"/>
  </sheetPr>
  <dimension ref="C1:R130"/>
  <sheetViews>
    <sheetView workbookViewId="0"/>
  </sheetViews>
  <sheetFormatPr defaultRowHeight="14.6"/>
  <cols>
    <col min="3" max="3" width="75.3828125" customWidth="1"/>
    <col min="4" max="5" width="26.69140625" customWidth="1"/>
    <col min="6" max="6" width="20.69140625" customWidth="1"/>
    <col min="7" max="11" width="26.69140625" customWidth="1"/>
    <col min="12" max="12" width="28.69140625" customWidth="1"/>
    <col min="13" max="14" width="30.69140625" customWidth="1"/>
    <col min="15" max="17" width="26.69140625" customWidth="1"/>
    <col min="18" max="19" width="24.69140625" customWidth="1"/>
  </cols>
  <sheetData>
    <row r="1" spans="3:17" ht="15" thickBot="1"/>
    <row r="2" spans="3:17" ht="15.75" customHeight="1" thickTop="1">
      <c r="D2" s="2352" t="s">
        <v>1496</v>
      </c>
      <c r="E2" s="2353"/>
      <c r="F2" s="2353"/>
      <c r="G2" s="2353"/>
      <c r="H2" s="2353"/>
      <c r="I2" s="2353"/>
      <c r="J2" s="2353"/>
      <c r="K2" s="2353"/>
      <c r="L2" s="2353"/>
      <c r="M2" s="2353"/>
      <c r="N2" s="2353"/>
      <c r="O2" s="2353"/>
      <c r="P2" s="2382"/>
    </row>
    <row r="3" spans="3:17" ht="15" thickBot="1">
      <c r="D3" s="2354"/>
      <c r="E3" s="2355"/>
      <c r="F3" s="2355"/>
      <c r="G3" s="2355"/>
      <c r="H3" s="2355"/>
      <c r="I3" s="2355"/>
      <c r="J3" s="2355"/>
      <c r="K3" s="2355"/>
      <c r="L3" s="2355"/>
      <c r="M3" s="2355"/>
      <c r="N3" s="2355"/>
      <c r="O3" s="2355"/>
      <c r="P3" s="2383"/>
    </row>
    <row r="4" spans="3:17" ht="27" thickTop="1" thickBot="1">
      <c r="C4" s="1257"/>
      <c r="D4" s="1137"/>
      <c r="E4" s="31"/>
      <c r="F4" s="31"/>
      <c r="G4" s="2362" t="s">
        <v>1752</v>
      </c>
      <c r="H4" s="2398"/>
      <c r="I4" s="31"/>
      <c r="J4" s="31"/>
      <c r="K4" s="31"/>
      <c r="L4" s="2362" t="s">
        <v>1753</v>
      </c>
      <c r="M4" s="2394"/>
      <c r="N4" s="31"/>
      <c r="O4" s="31"/>
      <c r="P4" s="1139"/>
    </row>
    <row r="5" spans="3:17" ht="21.45" thickTop="1" thickBot="1">
      <c r="D5" s="1164" t="s">
        <v>1447</v>
      </c>
      <c r="G5" s="1135" t="s">
        <v>1445</v>
      </c>
      <c r="H5" s="1603">
        <f>Work!BB8</f>
        <v>88</v>
      </c>
      <c r="I5" s="1134" t="s">
        <v>1449</v>
      </c>
      <c r="J5" s="1168" t="str">
        <f>CONCATENATE(IF(AND(IF(H$5&gt;=0,1,0),IF(H$5&lt;5,1,0)),"Very Low",""),IF(AND(IF(H$5&gt;=5,1,0),IF(H$5&lt;21,1,0)),"Low",""),IF(AND(IF(H$5&gt;=21,1,0),IF(H$5&lt;80,1,0)),"Moderate",""),IF(AND(IF(H$5&gt;=80,1,0),IF(H$5&lt;96,1,0)),"High",""),IF(AND(IF(H$5&gt;=96,1,0),IF(H$5&lt;100,1,0)),"Very High",""))</f>
        <v>High</v>
      </c>
      <c r="L5" s="1135" t="s">
        <v>1446</v>
      </c>
      <c r="M5" s="1603">
        <f>Work!BL8</f>
        <v>51</v>
      </c>
      <c r="N5" s="1134" t="s">
        <v>1449</v>
      </c>
      <c r="O5" s="1168" t="str">
        <f>CONCATENATE(IF(AND(IF(M$5&gt;=0,1,0),IF(M$5&lt;5,1,0)),"Very Low",""),IF(AND(IF(M$5&gt;=5,1,0),IF(M$5&lt;21,1,0)),"Low",""),IF(AND(IF(M$5&gt;=21,1,0),IF(M$5&lt;80,1,0)),"Moderate",""),IF(AND(IF(M$5&gt;=80,1,0),IF(M$5&lt;96,1,0)),"High",""),IF(AND(IF(M$5&gt;=96,1,0),IF(M$5&lt;100,1,0)),"Very High",""))</f>
        <v>Moderate</v>
      </c>
      <c r="P5" s="88"/>
    </row>
    <row r="6" spans="3:17" ht="21.45" thickTop="1" thickBot="1">
      <c r="D6" s="1164"/>
      <c r="G6" s="1135"/>
      <c r="H6" s="1614"/>
      <c r="I6" s="1134"/>
      <c r="J6" s="1168"/>
      <c r="L6" s="1135"/>
      <c r="M6" s="1614"/>
      <c r="N6" s="1134"/>
      <c r="O6" s="1168"/>
      <c r="P6" s="88"/>
    </row>
    <row r="7" spans="3:17" ht="21.45" thickTop="1" thickBot="1">
      <c r="D7" s="75"/>
      <c r="E7" s="1134"/>
      <c r="F7" s="1134"/>
      <c r="G7" s="1047"/>
      <c r="H7" s="1047"/>
      <c r="I7" s="1617"/>
      <c r="J7" s="1134"/>
      <c r="K7" s="1047"/>
      <c r="L7" s="1047"/>
      <c r="M7" s="31"/>
      <c r="N7" s="1615" t="s">
        <v>1754</v>
      </c>
      <c r="O7" s="1516" t="s">
        <v>1755</v>
      </c>
      <c r="P7" s="1140"/>
      <c r="Q7" s="31"/>
    </row>
    <row r="8" spans="3:17" ht="23.6" thickTop="1">
      <c r="D8" s="1164" t="s">
        <v>1448</v>
      </c>
      <c r="G8" s="1047"/>
      <c r="H8" s="1134" t="s">
        <v>1491</v>
      </c>
      <c r="I8" s="1616" t="str">
        <f>VLOOKUP($J$5,$H$93:$N$99,  HLOOKUP($O$5,$H$93:$N$99,2,FALSE)+1,  FALSE)</f>
        <v>Moderate</v>
      </c>
      <c r="M8" s="1134" t="s">
        <v>1500</v>
      </c>
      <c r="N8" s="1606">
        <f>P59</f>
        <v>65</v>
      </c>
      <c r="O8" s="1607" t="str">
        <f>P58</f>
        <v>Moderate</v>
      </c>
      <c r="P8" s="88"/>
    </row>
    <row r="9" spans="3:17" ht="21" thickBot="1">
      <c r="D9" s="1138"/>
      <c r="E9" s="1047"/>
      <c r="F9" s="1047"/>
      <c r="G9" s="1047"/>
      <c r="I9" s="1605" t="str">
        <f>I8</f>
        <v>Moderate</v>
      </c>
      <c r="J9" s="1047"/>
      <c r="K9" s="1047"/>
      <c r="L9" s="31"/>
      <c r="M9" s="1134"/>
      <c r="N9" s="1157">
        <f>N8</f>
        <v>65</v>
      </c>
      <c r="O9" s="21" t="str">
        <f>O8</f>
        <v>Moderate</v>
      </c>
      <c r="P9" s="1140"/>
      <c r="Q9" s="31"/>
    </row>
    <row r="10" spans="3:17" ht="21" thickTop="1">
      <c r="D10" s="1138"/>
      <c r="E10" s="1047"/>
      <c r="F10" s="1047"/>
      <c r="G10" s="1047"/>
      <c r="I10" s="1939"/>
      <c r="J10" s="1047"/>
      <c r="K10" s="1047"/>
      <c r="L10" s="1901"/>
      <c r="M10" s="1134">
        <v>1</v>
      </c>
      <c r="N10" s="1945"/>
      <c r="O10" s="1946"/>
      <c r="P10" s="1140"/>
      <c r="Q10" s="1901"/>
    </row>
    <row r="11" spans="3:17" ht="20.6">
      <c r="D11" s="1138"/>
      <c r="E11" s="1047"/>
      <c r="F11" s="1047"/>
      <c r="G11" s="1047"/>
      <c r="I11" s="1939"/>
      <c r="J11" s="1047"/>
      <c r="K11" s="1047"/>
      <c r="L11" s="1901"/>
      <c r="M11" s="1134">
        <f>1+M10</f>
        <v>2</v>
      </c>
      <c r="N11" s="1945"/>
      <c r="O11" s="1946"/>
      <c r="P11" s="1140"/>
      <c r="Q11" s="1901"/>
    </row>
    <row r="12" spans="3:17" ht="20.6">
      <c r="D12" s="1138"/>
      <c r="E12" s="1047"/>
      <c r="F12" s="1047"/>
      <c r="G12" s="1047"/>
      <c r="I12" s="1939"/>
      <c r="J12" s="1047"/>
      <c r="K12" s="1047"/>
      <c r="L12" s="1901"/>
      <c r="M12" s="1134">
        <f t="shared" ref="M12:M29" si="0">1+M11</f>
        <v>3</v>
      </c>
      <c r="N12" s="1945"/>
      <c r="O12" s="1946"/>
      <c r="P12" s="1140"/>
      <c r="Q12" s="1901"/>
    </row>
    <row r="13" spans="3:17" ht="20.6">
      <c r="D13" s="1138"/>
      <c r="E13" s="1047"/>
      <c r="F13" s="1047"/>
      <c r="G13" s="1047"/>
      <c r="I13" s="1939"/>
      <c r="J13" s="1047"/>
      <c r="K13" s="1047"/>
      <c r="L13" s="1901"/>
      <c r="M13" s="1134">
        <f t="shared" si="0"/>
        <v>4</v>
      </c>
      <c r="N13" s="1945"/>
      <c r="O13" s="1946"/>
      <c r="P13" s="1140"/>
      <c r="Q13" s="1901"/>
    </row>
    <row r="14" spans="3:17" ht="20.6">
      <c r="D14" s="1138"/>
      <c r="E14" s="1047"/>
      <c r="F14" s="1047"/>
      <c r="G14" s="1047"/>
      <c r="I14" s="1939"/>
      <c r="J14" s="1047"/>
      <c r="K14" s="1047"/>
      <c r="L14" s="1901"/>
      <c r="M14" s="1134">
        <f t="shared" si="0"/>
        <v>5</v>
      </c>
      <c r="N14" s="1945"/>
      <c r="O14" s="1946"/>
      <c r="P14" s="1140"/>
      <c r="Q14" s="1901"/>
    </row>
    <row r="15" spans="3:17" ht="20.6">
      <c r="D15" s="1138"/>
      <c r="E15" s="1047"/>
      <c r="F15" s="1047"/>
      <c r="G15" s="1047"/>
      <c r="I15" s="1939"/>
      <c r="J15" s="1047"/>
      <c r="K15" s="1047"/>
      <c r="L15" s="1901"/>
      <c r="M15" s="1134">
        <f t="shared" si="0"/>
        <v>6</v>
      </c>
      <c r="N15" s="1945"/>
      <c r="O15" s="1946"/>
      <c r="P15" s="1140"/>
      <c r="Q15" s="1901"/>
    </row>
    <row r="16" spans="3:17" ht="20.6">
      <c r="D16" s="1138"/>
      <c r="E16" s="1047"/>
      <c r="F16" s="1047"/>
      <c r="G16" s="1047"/>
      <c r="I16" s="1939"/>
      <c r="J16" s="1047"/>
      <c r="K16" s="1047"/>
      <c r="L16" s="1901"/>
      <c r="M16" s="1134">
        <f t="shared" si="0"/>
        <v>7</v>
      </c>
      <c r="N16" s="1945"/>
      <c r="O16" s="1946"/>
      <c r="P16" s="1140"/>
      <c r="Q16" s="1901"/>
    </row>
    <row r="17" spans="4:17" ht="20.6">
      <c r="D17" s="1138"/>
      <c r="E17" s="1047"/>
      <c r="F17" s="1047"/>
      <c r="G17" s="1047"/>
      <c r="I17" s="1939"/>
      <c r="J17" s="1047"/>
      <c r="K17" s="1047"/>
      <c r="L17" s="1901"/>
      <c r="M17" s="1134">
        <f t="shared" si="0"/>
        <v>8</v>
      </c>
      <c r="N17" s="1945"/>
      <c r="O17" s="1946"/>
      <c r="P17" s="1140"/>
      <c r="Q17" s="1901"/>
    </row>
    <row r="18" spans="4:17" ht="20.6">
      <c r="D18" s="1138"/>
      <c r="E18" s="1047"/>
      <c r="F18" s="1047"/>
      <c r="G18" s="1047"/>
      <c r="I18" s="1939"/>
      <c r="J18" s="1047"/>
      <c r="K18" s="1047"/>
      <c r="L18" s="1901"/>
      <c r="M18" s="1134">
        <f t="shared" si="0"/>
        <v>9</v>
      </c>
      <c r="N18" s="1945"/>
      <c r="O18" s="1946"/>
      <c r="P18" s="1140"/>
      <c r="Q18" s="1901"/>
    </row>
    <row r="19" spans="4:17" ht="20.6">
      <c r="D19" s="1138"/>
      <c r="E19" s="1047"/>
      <c r="F19" s="1047"/>
      <c r="G19" s="1047"/>
      <c r="I19" s="1939"/>
      <c r="J19" s="1047"/>
      <c r="K19" s="1047"/>
      <c r="L19" s="1901"/>
      <c r="M19" s="1134">
        <f t="shared" si="0"/>
        <v>10</v>
      </c>
      <c r="N19" s="1945"/>
      <c r="O19" s="1946"/>
      <c r="P19" s="1140"/>
      <c r="Q19" s="1901"/>
    </row>
    <row r="20" spans="4:17" ht="20.6">
      <c r="D20" s="1138"/>
      <c r="E20" s="1047"/>
      <c r="F20" s="1047"/>
      <c r="G20" s="1047"/>
      <c r="I20" s="1939"/>
      <c r="J20" s="1047"/>
      <c r="K20" s="1047"/>
      <c r="L20" s="1901"/>
      <c r="M20" s="1134">
        <f t="shared" si="0"/>
        <v>11</v>
      </c>
      <c r="N20" s="1945"/>
      <c r="O20" s="1946"/>
      <c r="P20" s="1140"/>
      <c r="Q20" s="1901"/>
    </row>
    <row r="21" spans="4:17" ht="20.6">
      <c r="D21" s="1138"/>
      <c r="E21" s="1047"/>
      <c r="F21" s="1047"/>
      <c r="G21" s="1047"/>
      <c r="I21" s="1939"/>
      <c r="J21" s="1047"/>
      <c r="K21" s="1047"/>
      <c r="L21" s="1901"/>
      <c r="M21" s="1134">
        <f t="shared" si="0"/>
        <v>12</v>
      </c>
      <c r="N21" s="1945"/>
      <c r="O21" s="1946"/>
      <c r="P21" s="1140"/>
      <c r="Q21" s="1901"/>
    </row>
    <row r="22" spans="4:17" ht="20.6">
      <c r="D22" s="1138"/>
      <c r="E22" s="1047"/>
      <c r="F22" s="1047"/>
      <c r="G22" s="1047"/>
      <c r="I22" s="1939"/>
      <c r="J22" s="1047"/>
      <c r="K22" s="1047"/>
      <c r="L22" s="1901"/>
      <c r="M22" s="1134">
        <f t="shared" si="0"/>
        <v>13</v>
      </c>
      <c r="N22" s="1945"/>
      <c r="O22" s="1946"/>
      <c r="P22" s="1140"/>
      <c r="Q22" s="1901"/>
    </row>
    <row r="23" spans="4:17" ht="20.6">
      <c r="D23" s="1138"/>
      <c r="E23" s="1047"/>
      <c r="F23" s="1047"/>
      <c r="G23" s="1047"/>
      <c r="I23" s="1939"/>
      <c r="J23" s="1047"/>
      <c r="K23" s="1047"/>
      <c r="L23" s="1901"/>
      <c r="M23" s="1134">
        <f t="shared" si="0"/>
        <v>14</v>
      </c>
      <c r="N23" s="1945"/>
      <c r="O23" s="1946"/>
      <c r="P23" s="1140"/>
      <c r="Q23" s="1901"/>
    </row>
    <row r="24" spans="4:17" ht="20.6">
      <c r="D24" s="1138"/>
      <c r="E24" s="1047"/>
      <c r="F24" s="1047"/>
      <c r="G24" s="1047"/>
      <c r="I24" s="1939"/>
      <c r="J24" s="1047"/>
      <c r="K24" s="1047"/>
      <c r="L24" s="1901"/>
      <c r="M24" s="1134">
        <f t="shared" si="0"/>
        <v>15</v>
      </c>
      <c r="N24" s="1945"/>
      <c r="O24" s="1946"/>
      <c r="P24" s="1140"/>
      <c r="Q24" s="1901"/>
    </row>
    <row r="25" spans="4:17" ht="20.6">
      <c r="D25" s="1138"/>
      <c r="E25" s="1047"/>
      <c r="F25" s="1047"/>
      <c r="G25" s="1047"/>
      <c r="I25" s="1939"/>
      <c r="J25" s="1047"/>
      <c r="K25" s="1047"/>
      <c r="L25" s="1901"/>
      <c r="M25" s="1134">
        <f t="shared" si="0"/>
        <v>16</v>
      </c>
      <c r="N25" s="1945"/>
      <c r="O25" s="1946"/>
      <c r="P25" s="1140"/>
      <c r="Q25" s="1901"/>
    </row>
    <row r="26" spans="4:17" ht="20.6">
      <c r="D26" s="1138"/>
      <c r="E26" s="1047"/>
      <c r="F26" s="1047"/>
      <c r="G26" s="1047"/>
      <c r="I26" s="1939"/>
      <c r="J26" s="1047"/>
      <c r="K26" s="1047"/>
      <c r="L26" s="1901"/>
      <c r="M26" s="1134">
        <f t="shared" si="0"/>
        <v>17</v>
      </c>
      <c r="N26" s="1945"/>
      <c r="O26" s="1946"/>
      <c r="P26" s="1140"/>
      <c r="Q26" s="1901"/>
    </row>
    <row r="27" spans="4:17" ht="20.6">
      <c r="D27" s="1138"/>
      <c r="E27" s="1047"/>
      <c r="F27" s="1047"/>
      <c r="G27" s="1047"/>
      <c r="I27" s="1939"/>
      <c r="J27" s="1047"/>
      <c r="K27" s="1047"/>
      <c r="L27" s="1901"/>
      <c r="M27" s="1134">
        <f t="shared" si="0"/>
        <v>18</v>
      </c>
      <c r="N27" s="1945"/>
      <c r="O27" s="1946"/>
      <c r="P27" s="1140"/>
      <c r="Q27" s="1901"/>
    </row>
    <row r="28" spans="4:17" ht="20.6">
      <c r="D28" s="1138"/>
      <c r="E28" s="1047"/>
      <c r="F28" s="1047"/>
      <c r="G28" s="1047"/>
      <c r="I28" s="1939"/>
      <c r="J28" s="1047"/>
      <c r="K28" s="1047"/>
      <c r="L28" s="1901"/>
      <c r="M28" s="1134">
        <f t="shared" si="0"/>
        <v>19</v>
      </c>
      <c r="N28" s="1945"/>
      <c r="O28" s="1946"/>
      <c r="P28" s="1140"/>
      <c r="Q28" s="1901"/>
    </row>
    <row r="29" spans="4:17" ht="20.6">
      <c r="D29" s="1138"/>
      <c r="E29" s="1047"/>
      <c r="F29" s="1047"/>
      <c r="G29" s="1047"/>
      <c r="I29" s="1939"/>
      <c r="J29" s="1047"/>
      <c r="K29" s="1047"/>
      <c r="L29" s="1901"/>
      <c r="M29" s="1134">
        <f t="shared" si="0"/>
        <v>20</v>
      </c>
      <c r="N29" s="1945"/>
      <c r="O29" s="1946"/>
      <c r="P29" s="1140"/>
      <c r="Q29" s="1901"/>
    </row>
    <row r="30" spans="4:17" ht="15" thickBot="1">
      <c r="D30" s="92"/>
      <c r="J30" s="524" t="s">
        <v>1518</v>
      </c>
      <c r="K30" s="31"/>
      <c r="L30" s="524" t="s">
        <v>1518</v>
      </c>
      <c r="M30" s="31"/>
      <c r="N30" s="524" t="s">
        <v>1518</v>
      </c>
      <c r="P30" s="807"/>
    </row>
    <row r="31" spans="4:17" ht="19.3" thickTop="1" thickBot="1">
      <c r="D31" s="2356" t="s">
        <v>1493</v>
      </c>
      <c r="E31" s="2357"/>
      <c r="F31" s="2357"/>
      <c r="G31" s="2358"/>
      <c r="H31" s="2362" t="s">
        <v>1492</v>
      </c>
      <c r="I31" s="2363"/>
      <c r="J31" s="2363"/>
      <c r="K31" s="2363"/>
      <c r="L31" s="2363"/>
      <c r="M31" s="2363"/>
      <c r="N31" s="2363"/>
      <c r="O31" s="2363"/>
      <c r="P31" s="2364"/>
    </row>
    <row r="32" spans="4:17" ht="16.5" customHeight="1" thickTop="1" thickBot="1">
      <c r="D32" s="2359"/>
      <c r="E32" s="2360"/>
      <c r="F32" s="2360"/>
      <c r="G32" s="2361"/>
      <c r="H32" s="1132" t="s">
        <v>1431</v>
      </c>
      <c r="J32" s="1040" t="s">
        <v>1432</v>
      </c>
      <c r="L32" s="1042" t="s">
        <v>1433</v>
      </c>
      <c r="N32" s="1133" t="s">
        <v>1434</v>
      </c>
      <c r="P32" s="1041" t="s">
        <v>1435</v>
      </c>
    </row>
    <row r="33" spans="3:18" ht="16.5" customHeight="1" thickTop="1" thickBot="1">
      <c r="D33" s="1205"/>
      <c r="E33" s="1207" t="s">
        <v>1450</v>
      </c>
      <c r="F33" s="1216">
        <v>0</v>
      </c>
      <c r="G33" s="1192"/>
      <c r="H33" s="1193" t="s">
        <v>348</v>
      </c>
      <c r="I33" s="1194">
        <v>5</v>
      </c>
      <c r="J33" s="1195" t="s">
        <v>238</v>
      </c>
      <c r="K33" s="1194">
        <v>21</v>
      </c>
      <c r="L33" s="1196" t="s">
        <v>260</v>
      </c>
      <c r="M33" s="1194">
        <v>80</v>
      </c>
      <c r="N33" s="1197" t="s">
        <v>261</v>
      </c>
      <c r="O33" s="1194">
        <v>96</v>
      </c>
      <c r="P33" s="1198" t="s">
        <v>235</v>
      </c>
      <c r="Q33" s="1174"/>
      <c r="R33" s="1190" t="s">
        <v>1463</v>
      </c>
    </row>
    <row r="34" spans="3:18" ht="16.5" customHeight="1" thickTop="1" thickBot="1">
      <c r="D34" s="1206"/>
      <c r="E34" s="1207"/>
      <c r="F34" s="1216">
        <v>1</v>
      </c>
      <c r="G34" s="1204">
        <v>2</v>
      </c>
      <c r="H34" s="1203">
        <v>3</v>
      </c>
      <c r="I34" s="524">
        <v>4</v>
      </c>
      <c r="J34" s="1202">
        <v>5</v>
      </c>
      <c r="K34" s="524">
        <v>6</v>
      </c>
      <c r="L34" s="1201">
        <v>7</v>
      </c>
      <c r="M34" s="524">
        <v>8</v>
      </c>
      <c r="N34" s="1200">
        <v>9</v>
      </c>
      <c r="O34" s="524">
        <v>10</v>
      </c>
      <c r="P34" s="1199">
        <v>11</v>
      </c>
      <c r="Q34" s="23">
        <v>12</v>
      </c>
      <c r="R34" s="1190">
        <v>1</v>
      </c>
    </row>
    <row r="35" spans="3:18" ht="21.45" thickTop="1" thickBot="1">
      <c r="D35" s="1191"/>
      <c r="E35" s="1208"/>
      <c r="F35" s="1210">
        <v>2</v>
      </c>
      <c r="G35" s="1217"/>
      <c r="H35" s="1129" t="str">
        <f>CONCATENATE(IF(AND(IF(H36&gt;=0,1,0),IF(H36&lt;5,1,0)),5,""),IF(AND(IF(H36&gt;=5,1,0),IF(H36&lt;21,1,0)),21,""),IF(AND(IF(H36&gt;=21,1,0),IF(H36&lt;80,1,0)),80,""),IF(AND(IF(H36&gt;=80,1,0),IF(H36&lt;96,1,0)),96,""),IF(AND(IF(H36&gt;=96,1,0),IF(H36&lt;=100,1,0)),100,""))</f>
        <v>5</v>
      </c>
      <c r="I35" s="1115"/>
      <c r="J35" s="1129" t="str">
        <f>CONCATENATE(IF(AND(IF(J36&gt;=0,1,0),IF(J36&lt;5,1,0)),5,""),IF(AND(IF(J36&gt;=5,1,0),IF(J36&lt;21,1,0)),21,""),IF(AND(IF(J36&gt;=21,1,0),IF(J36&lt;80,1,0)),80,""),IF(AND(IF(J36&gt;=80,1,0),IF(J36&lt;96,1,0)),96,""),IF(AND(IF(J36&gt;=96,1,0),IF(J36&lt;=100,1,0)),100,""))</f>
        <v>21</v>
      </c>
      <c r="K35" s="1115"/>
      <c r="L35" s="1129" t="str">
        <f>CONCATENATE(IF(AND(IF(L36&gt;=0,1,0),IF(L36&lt;5,1,0)),5,""),IF(AND(IF(L36&gt;=5,1,0),IF(L36&lt;21,1,0)),21,""),IF(AND(IF(L36&gt;=21,1,0),IF(L36&lt;80,1,0)),80,""),IF(AND(IF(L36&gt;=80,1,0),IF(L36&lt;96,1,0)),96,""),IF(AND(IF(L36&gt;=96,1,0),IF(L36&lt;=100,1,0)),100,""))</f>
        <v>80</v>
      </c>
      <c r="M35" s="1115"/>
      <c r="N35" s="1129" t="str">
        <f>CONCATENATE(IF(AND(IF(N36&gt;=0,1,0),IF(N36&lt;5,1,0)),5,""),IF(AND(IF(N36&gt;=5,1,0),IF(N36&lt;21,1,0)),21,""),IF(AND(IF(N36&gt;=21,1,0),IF(N36&lt;80,1,0)),80,""),IF(AND(IF(N36&gt;=80,1,0),IF(N36&lt;96,1,0)),96,""),IF(AND(IF(N36&gt;=96,1,0),IF(N36&lt;=100,1,0)),100,""))</f>
        <v>96</v>
      </c>
      <c r="O35" s="1115"/>
      <c r="P35" s="1129" t="str">
        <f>CONCATENATE(IF(AND(IF(P36&gt;=0,1,0),IF(P36&lt;5,1,0)),5,""),IF(AND(IF(P36&gt;=5,1,0),IF(P36&lt;21,1,0)),21,""),IF(AND(IF(P36&gt;=21,1,0),IF(P36&lt;80,1,0)),80,""),IF(AND(IF(P36&gt;=80,1,0),IF(P36&lt;96,1,0)),96,""),IF(AND(IF(P36&gt;=96,1,0),IF(P36&lt;=100,1,0)),100,""))</f>
        <v>100</v>
      </c>
      <c r="Q35" s="1072"/>
      <c r="R35" s="1190">
        <v>2</v>
      </c>
    </row>
    <row r="36" spans="3:18" ht="19.3" thickTop="1" thickBot="1">
      <c r="D36" s="1145" t="s">
        <v>1435</v>
      </c>
      <c r="E36" s="1046" t="s">
        <v>235</v>
      </c>
      <c r="F36" s="1211">
        <v>3</v>
      </c>
      <c r="G36" s="1126" t="str">
        <f>CONCATENATE(IF(AND(IF(H36&gt;=0,1,0),IF(H36&lt;5,1,0)),0,""),IF(AND(IF(H36&gt;=5,1,0),IF(H36&lt;21,1,0)),5,""),IF(AND(IF(H36&gt;=21,1,0),IF(H36&lt;80,1,0)),21,""),IF(AND(IF(H36&gt;=80,1,0),IF(H36&lt;96,1,0)),80,""),IF(AND(IF(H36&gt;=96,1,0),IF(H36&lt;100,1,0)),96,""))</f>
        <v>0</v>
      </c>
      <c r="H36" s="1258">
        <v>4</v>
      </c>
      <c r="I36" s="1099">
        <v>42.5</v>
      </c>
      <c r="J36" s="1082">
        <v>18</v>
      </c>
      <c r="K36" s="1103">
        <v>77.5</v>
      </c>
      <c r="L36" s="684">
        <v>75</v>
      </c>
      <c r="M36" s="1105">
        <v>92.5</v>
      </c>
      <c r="N36" s="685">
        <v>91</v>
      </c>
      <c r="O36" s="1107">
        <v>97.5</v>
      </c>
      <c r="P36" s="687">
        <v>100</v>
      </c>
      <c r="Q36" s="1131">
        <v>100</v>
      </c>
      <c r="R36" s="1190">
        <v>3</v>
      </c>
    </row>
    <row r="37" spans="3:18" ht="16.75" thickTop="1" thickBot="1">
      <c r="D37" s="110"/>
      <c r="E37" s="11"/>
      <c r="F37" s="1210">
        <v>4</v>
      </c>
      <c r="G37" s="1127"/>
      <c r="H37" s="944">
        <f>AVERAGE(H36,H38)</f>
        <v>3.5</v>
      </c>
      <c r="I37" s="937"/>
      <c r="J37" s="944">
        <f>AVERAGE(J36,J38)</f>
        <v>17.5</v>
      </c>
      <c r="K37" s="934"/>
      <c r="L37" s="944">
        <f>AVERAGE(L36,L38)</f>
        <v>67.5</v>
      </c>
      <c r="M37" s="951"/>
      <c r="N37" s="944">
        <f>AVERAGE(N36,N38)</f>
        <v>89.5</v>
      </c>
      <c r="O37" s="953"/>
      <c r="P37" s="944">
        <f>AVERAGE(P36,P38)</f>
        <v>99.5</v>
      </c>
      <c r="Q37" s="1130"/>
      <c r="R37" s="1190">
        <v>4</v>
      </c>
    </row>
    <row r="38" spans="3:18" ht="16.75" thickTop="1" thickBot="1">
      <c r="D38" s="1144" t="s">
        <v>1434</v>
      </c>
      <c r="E38" s="1119" t="s">
        <v>261</v>
      </c>
      <c r="F38" s="1212">
        <v>5</v>
      </c>
      <c r="G38" s="1126" t="str">
        <f>CONCATENATE(IF(AND(IF(H38&gt;=0,1,0),IF(H38&lt;5,1,0)),0,""),IF(AND(IF(H38&gt;=5,1,0),IF(H38&lt;21,1,0)),5,""),IF(AND(IF(H38&gt;=21,1,0),IF(H38&lt;80,1,0)),21,""),IF(AND(IF(H38&gt;=80,1,0),IF(H38&lt;96,1,0)),80,""),IF(AND(IF(H38&gt;=96,1,0),IF(H38&lt;100,1,0)),96,""))</f>
        <v>0</v>
      </c>
      <c r="H38" s="694">
        <v>3</v>
      </c>
      <c r="I38" s="1101">
        <v>33</v>
      </c>
      <c r="J38" s="981">
        <v>17</v>
      </c>
      <c r="K38" s="1101">
        <v>59</v>
      </c>
      <c r="L38" s="834">
        <v>60</v>
      </c>
      <c r="M38" s="945">
        <v>77.5</v>
      </c>
      <c r="N38" s="690">
        <v>88</v>
      </c>
      <c r="O38" s="954">
        <v>92.5</v>
      </c>
      <c r="P38" s="691">
        <v>99</v>
      </c>
      <c r="Q38" s="1131" t="str">
        <f>CONCATENATE(IF(AND(IF(P38&gt;=0,1,0),IF(P38&lt;5,1,0)),5,""),IF(AND(IF(P38&gt;=5,1,0),IF(P38&lt;21,1,0)),21,""),IF(AND(IF(P38&gt;=21,1,0),IF(P38&lt;80,1,0)),80,""),IF(AND(IF(P38&gt;=80,1,0),IF(P38&lt;96,1,0)),96,""),IF(AND(IF(P38&gt;=96,1,0),IF(P38&lt;100,1,0)),100,""))</f>
        <v>100</v>
      </c>
      <c r="R38" s="1190">
        <v>5</v>
      </c>
    </row>
    <row r="39" spans="3:18" ht="16.75" thickTop="1" thickBot="1">
      <c r="D39" s="110"/>
      <c r="E39" s="11"/>
      <c r="F39" s="1210">
        <v>6</v>
      </c>
      <c r="G39" s="1127"/>
      <c r="H39" s="944">
        <f>AVERAGE(H38,H40)</f>
        <v>2.5</v>
      </c>
      <c r="I39" s="945"/>
      <c r="J39" s="944">
        <f>AVERAGE(J38,J40)</f>
        <v>16</v>
      </c>
      <c r="K39" s="935"/>
      <c r="L39" s="944">
        <f>AVERAGE(L38,L40)</f>
        <v>55.5</v>
      </c>
      <c r="M39" s="947"/>
      <c r="N39" s="944">
        <f>AVERAGE(N38,N40)</f>
        <v>74</v>
      </c>
      <c r="O39" s="954"/>
      <c r="P39" s="944">
        <f>AVERAGE(P38,P40)</f>
        <v>93.5</v>
      </c>
      <c r="Q39" s="1130"/>
      <c r="R39" s="1190">
        <v>6</v>
      </c>
    </row>
    <row r="40" spans="3:18" ht="16.75" thickTop="1" thickBot="1">
      <c r="C40" s="1266"/>
      <c r="D40" s="1143" t="s">
        <v>1433</v>
      </c>
      <c r="E40" s="834" t="s">
        <v>260</v>
      </c>
      <c r="F40" s="1213">
        <v>7</v>
      </c>
      <c r="G40" s="1126" t="str">
        <f>CONCATENATE(IF(AND(IF(H40&gt;=0,1,0),IF(H40&lt;5,1,0)),0,""),IF(AND(IF(H40&gt;=5,1,0),IF(H40&lt;21,1,0)),5,""),IF(AND(IF(H40&gt;=21,1,0),IF(H40&lt;80,1,0)),21,""),IF(AND(IF(H40&gt;=80,1,0),IF(H40&lt;96,1,0)),80,""),IF(AND(IF(H40&gt;=96,1,0),IF(H40&lt;100,1,0)),96,""))</f>
        <v>0</v>
      </c>
      <c r="H40" s="694">
        <v>2</v>
      </c>
      <c r="I40" s="945">
        <v>14</v>
      </c>
      <c r="J40" s="692">
        <v>15</v>
      </c>
      <c r="K40" s="954">
        <v>33</v>
      </c>
      <c r="L40" s="834">
        <v>51</v>
      </c>
      <c r="M40" s="945">
        <v>59</v>
      </c>
      <c r="N40" s="689">
        <v>60</v>
      </c>
      <c r="O40" s="954">
        <v>77.5</v>
      </c>
      <c r="P40" s="693">
        <v>88</v>
      </c>
      <c r="Q40" s="1131" t="str">
        <f>CONCATENATE(IF(AND(IF(P40&gt;=0,1,0),IF(P40&lt;5,1,0)),5,""),IF(AND(IF(P40&gt;=5,1,0),IF(P40&lt;21,1,0)),21,""),IF(AND(IF(P40&gt;=21,1,0),IF(P40&lt;80,1,0)),80,""),IF(AND(IF(P40&gt;=80,1,0),IF(P40&lt;96,1,0)),96,""),IF(AND(IF(P40&gt;=96,1,0),IF(P40&lt;100,1,0)),100,""))</f>
        <v>96</v>
      </c>
      <c r="R40" s="1190">
        <v>7</v>
      </c>
    </row>
    <row r="41" spans="3:18" ht="16.75" thickTop="1" thickBot="1">
      <c r="D41" s="1120"/>
      <c r="E41" s="11"/>
      <c r="F41" s="1210">
        <v>8</v>
      </c>
      <c r="G41" s="1127"/>
      <c r="H41" s="944">
        <f>AVERAGE(H40,H42)</f>
        <v>1.5</v>
      </c>
      <c r="I41" s="945"/>
      <c r="J41" s="944">
        <f>AVERAGE(J40,J42)</f>
        <v>14</v>
      </c>
      <c r="K41" s="935"/>
      <c r="L41" s="944">
        <f>AVERAGE(L40,L42)</f>
        <v>33</v>
      </c>
      <c r="M41" s="947"/>
      <c r="N41" s="944">
        <f>AVERAGE(N40,N42)</f>
        <v>38.5</v>
      </c>
      <c r="O41" s="954"/>
      <c r="P41" s="944">
        <f>AVERAGE(P40,P42)</f>
        <v>74</v>
      </c>
      <c r="Q41" s="1130"/>
      <c r="R41" s="1190">
        <v>8</v>
      </c>
    </row>
    <row r="42" spans="3:18" ht="16.75" thickTop="1" thickBot="1">
      <c r="C42" s="1266"/>
      <c r="D42" s="1117" t="s">
        <v>1432</v>
      </c>
      <c r="E42" s="1209" t="s">
        <v>238</v>
      </c>
      <c r="F42" s="1214">
        <v>9</v>
      </c>
      <c r="G42" s="1126" t="str">
        <f>CONCATENATE(IF(AND(IF(H42&gt;=0,1,0),IF(H42&lt;5,1,0)),0,""),IF(AND(IF(H42&gt;=5,1,0),IF(H42&lt;21,1,0)),5,""),IF(AND(IF(H42&gt;=21,1,0),IF(H42&lt;80,1,0)),21,""),IF(AND(IF(H42&gt;=80,1,0),IF(H42&lt;96,1,0)),80,""),IF(AND(IF(H42&gt;=96,1,0),IF(H42&lt;100,1,0)),96,""))</f>
        <v>0</v>
      </c>
      <c r="H42" s="694">
        <v>1</v>
      </c>
      <c r="I42" s="945">
        <v>7.5</v>
      </c>
      <c r="J42" s="692">
        <v>13</v>
      </c>
      <c r="K42" s="947">
        <v>14</v>
      </c>
      <c r="L42" s="692">
        <v>15</v>
      </c>
      <c r="M42" s="947">
        <v>33</v>
      </c>
      <c r="N42" s="692">
        <v>17</v>
      </c>
      <c r="O42" s="954">
        <v>59</v>
      </c>
      <c r="P42" s="695">
        <v>60</v>
      </c>
      <c r="Q42" s="1131" t="str">
        <f>CONCATENATE(IF(AND(IF(P42&gt;=0,1,0),IF(P42&lt;5,1,0)),5,""),IF(AND(IF(P42&gt;=5,1,0),IF(P42&lt;21,1,0)),21,""),IF(AND(IF(P42&gt;=21,1,0),IF(P42&lt;80,1,0)),80,""),IF(AND(IF(P42&gt;=80,1,0),IF(P42&lt;96,1,0)),96,""),IF(AND(IF(P42&gt;=96,1,0),IF(P42&lt;100,1,0)),100,""))</f>
        <v>80</v>
      </c>
      <c r="R42" s="1190">
        <v>9</v>
      </c>
    </row>
    <row r="43" spans="3:18" ht="16.75" thickTop="1" thickBot="1">
      <c r="D43" s="1118"/>
      <c r="E43" s="11"/>
      <c r="F43" s="1210">
        <v>10</v>
      </c>
      <c r="G43" s="1127"/>
      <c r="H43" s="944">
        <f>AVERAGE(H42,H44)</f>
        <v>0.5</v>
      </c>
      <c r="I43" s="946"/>
      <c r="J43" s="944">
        <f>AVERAGE(J42,J44)</f>
        <v>7</v>
      </c>
      <c r="K43" s="936"/>
      <c r="L43" s="944">
        <f>AVERAGE(L42,L44)</f>
        <v>8.5</v>
      </c>
      <c r="M43" s="952"/>
      <c r="N43" s="944">
        <f>AVERAGE(N42,N44)</f>
        <v>16</v>
      </c>
      <c r="O43" s="955"/>
      <c r="P43" s="944">
        <f>AVERAGE(P42,P44)</f>
        <v>38.5</v>
      </c>
      <c r="Q43" s="1130"/>
      <c r="R43" s="1190">
        <v>10</v>
      </c>
    </row>
    <row r="44" spans="3:18" ht="16.75" thickTop="1" thickBot="1">
      <c r="D44" s="1142" t="s">
        <v>1436</v>
      </c>
      <c r="E44" s="1045" t="s">
        <v>348</v>
      </c>
      <c r="F44" s="1215">
        <v>11</v>
      </c>
      <c r="G44" s="1126" t="str">
        <f>CONCATENATE(IF(AND(IF(H44&gt;=0,1,0),IF(H44&lt;5,1,0)),0,""),IF(AND(IF(H44&gt;=5,1,0),IF(H44&lt;21,1,0)),5,""),IF(AND(IF(H44&gt;=21,1,0),IF(H44&lt;80,1,0)),21,""),IF(AND(IF(H44&gt;=80,1,0),IF(H44&lt;96,1,0)),80,""),IF(AND(IF(H44&gt;=96,1,0),IF(H44&lt;100,1,0)),96,""))</f>
        <v>0</v>
      </c>
      <c r="H44" s="696">
        <v>0</v>
      </c>
      <c r="I44" s="1102">
        <v>1.5</v>
      </c>
      <c r="J44" s="697">
        <v>1</v>
      </c>
      <c r="K44" s="1104">
        <v>7.5</v>
      </c>
      <c r="L44" s="697">
        <v>2</v>
      </c>
      <c r="M44" s="1106">
        <v>14</v>
      </c>
      <c r="N44" s="981">
        <v>15</v>
      </c>
      <c r="O44" s="1108">
        <v>16.5</v>
      </c>
      <c r="P44" s="699">
        <v>17</v>
      </c>
      <c r="Q44" s="1131" t="str">
        <f>CONCATENATE(IF(AND(IF(P44&gt;=0,1,0),IF(P44&lt;5,1,0)),5,""),IF(AND(IF(P44&gt;=5,1,0),IF(P44&lt;21,1,0)),21,""),IF(AND(IF(P44&gt;=21,1,0),IF(P44&lt;80,1,0)),80,""),IF(AND(IF(P44&gt;=80,1,0),IF(P44&lt;96,1,0)),96,""),IF(AND(IF(P44&gt;=96,1,0),IF(P44&lt;100,1,0)),100,""))</f>
        <v>21</v>
      </c>
      <c r="R44" s="1190">
        <v>11</v>
      </c>
    </row>
    <row r="45" spans="3:18" ht="21.45" thickTop="1" thickBot="1">
      <c r="E45" s="11"/>
      <c r="F45" s="1210">
        <v>12</v>
      </c>
      <c r="G45" s="1067"/>
      <c r="H45" s="1128" t="str">
        <f>CONCATENATE(IF(AND(IF(H44&gt;=0,1,0),IF(H44&lt;5,1,0)),0,""),IF(AND(IF(H44&gt;=5,1,0),IF(H44&lt;21,1,0)),5,""),IF(AND(IF(H44&gt;=21,1,0),IF(H44&lt;80,1,0)),21,""),IF(AND(IF(H44&gt;=80,1,0),IF(H44&lt;96,1,0)),80,""),IF(AND(IF(H44&gt;=96,1,0),IF(H44&lt;100,1,0)),96,""))</f>
        <v>0</v>
      </c>
      <c r="I45" s="1116"/>
      <c r="J45" s="1128" t="str">
        <f>CONCATENATE(IF(AND(IF(J44&gt;=0,1,0),IF(J44&lt;5,1,0)),0,""),IF(AND(IF(J44&gt;=5,1,0),IF(J44&lt;21,1,0)),5,""),IF(AND(IF(J44&gt;=21,1,0),IF(J44&lt;80,1,0)),21,""),IF(AND(IF(J44&gt;=80,1,0),IF(J44&lt;96,1,0)),80,""),IF(AND(IF(J44&gt;=96,1,0),IF(J44&lt;100,1,0)),96,""))</f>
        <v>0</v>
      </c>
      <c r="K45" s="1116"/>
      <c r="L45" s="1128" t="str">
        <f>CONCATENATE(IF(AND(IF(L44&gt;=0,1,0),IF(L44&lt;5,1,0)),0,""),IF(AND(IF(L44&gt;=5,1,0),IF(L44&lt;21,1,0)),5,""),IF(AND(IF(L44&gt;=21,1,0),IF(L44&lt;80,1,0)),21,""),IF(AND(IF(L44&gt;=80,1,0),IF(L44&lt;96,1,0)),80,""),IF(AND(IF(L44&gt;=96,1,0),IF(L44&lt;100,1,0)),96,""))</f>
        <v>0</v>
      </c>
      <c r="M45" s="1116"/>
      <c r="N45" s="1128" t="str">
        <f>CONCATENATE(IF(AND(IF(N44&gt;=0,1,0),IF(N44&lt;5,1,0)),0,""),IF(AND(IF(N44&gt;=5,1,0),IF(N44&lt;21,1,0)),5,""),IF(AND(IF(N44&gt;=21,1,0),IF(N44&lt;80,1,0)),21,""),IF(AND(IF(N44&gt;=80,1,0),IF(N44&lt;96,1,0)),80,""),IF(AND(IF(N44&gt;=96,1,0),IF(N44&lt;100,1,0)),96,""))</f>
        <v>5</v>
      </c>
      <c r="O45" s="1116"/>
      <c r="P45" s="1128" t="str">
        <f>CONCATENATE(IF(AND(IF(P44&gt;=0,1,0),IF(P44&lt;5,1,0)),0,""),IF(AND(IF(P44&gt;=5,1,0),IF(P44&lt;21,1,0)),5,""),IF(AND(IF(P44&gt;=21,1,0),IF(P44&lt;80,1,0)),21,""),IF(AND(IF(P44&gt;=80,1,0),IF(P44&lt;96,1,0)),80,""),IF(AND(IF(P44&gt;=96,1,0),IF(P44&lt;100,1,0)),96,""))</f>
        <v>5</v>
      </c>
      <c r="Q45" s="1071"/>
      <c r="R45" s="1190" t="s">
        <v>1464</v>
      </c>
    </row>
    <row r="46" spans="3:18" ht="15.45" thickTop="1" thickBot="1">
      <c r="E46" s="1190" t="s">
        <v>1462</v>
      </c>
      <c r="F46" s="1190">
        <v>1</v>
      </c>
      <c r="G46" s="1190">
        <v>2</v>
      </c>
      <c r="H46" s="1190">
        <v>3</v>
      </c>
      <c r="I46" s="1190">
        <v>4</v>
      </c>
      <c r="J46" s="1190">
        <v>5</v>
      </c>
      <c r="K46" s="1190">
        <v>6</v>
      </c>
      <c r="L46" s="1190">
        <v>7</v>
      </c>
      <c r="M46" s="1190">
        <v>8</v>
      </c>
      <c r="N46" s="1190">
        <v>9</v>
      </c>
      <c r="O46" s="1190">
        <v>10</v>
      </c>
      <c r="P46" s="1190">
        <v>11</v>
      </c>
      <c r="Q46" s="1190" t="s">
        <v>1461</v>
      </c>
      <c r="R46" s="11"/>
    </row>
    <row r="47" spans="3:18" ht="15" thickTop="1"/>
    <row r="49" spans="4:17" ht="15" thickBot="1"/>
    <row r="50" spans="4:17" ht="21" thickTop="1">
      <c r="D50" s="2395" t="s">
        <v>1501</v>
      </c>
      <c r="E50" s="2396"/>
      <c r="F50" s="2396"/>
      <c r="G50" s="2396"/>
      <c r="H50" s="2396"/>
      <c r="I50" s="2396"/>
      <c r="J50" s="2396"/>
      <c r="K50" s="2396"/>
      <c r="L50" s="2396"/>
      <c r="M50" s="2396"/>
      <c r="N50" s="2396"/>
      <c r="O50" s="2396"/>
      <c r="P50" s="2396"/>
      <c r="Q50" s="2397"/>
    </row>
    <row r="51" spans="4:17">
      <c r="D51" s="1248"/>
      <c r="E51" s="1249"/>
      <c r="F51" s="1249"/>
      <c r="G51" s="1249"/>
      <c r="H51" s="1249"/>
      <c r="I51" s="1249"/>
      <c r="J51" s="1249"/>
      <c r="K51" s="1249"/>
      <c r="L51" s="1249"/>
      <c r="M51" s="1249"/>
      <c r="N51" s="1249"/>
      <c r="O51" s="1249"/>
      <c r="P51" s="1249"/>
      <c r="Q51" s="1250"/>
    </row>
    <row r="52" spans="4:17" ht="15" thickBot="1">
      <c r="D52" s="75"/>
      <c r="Q52" s="88"/>
    </row>
    <row r="53" spans="4:17" ht="16.75" thickTop="1" thickBot="1">
      <c r="D53" s="75"/>
      <c r="E53" s="1189" t="s">
        <v>1460</v>
      </c>
      <c r="F53" s="1237">
        <f>VLOOKUP($J$5,$E$33:$Q$45,2,FALSE)</f>
        <v>5</v>
      </c>
      <c r="G53" s="1232" t="str">
        <f>VLOOKUP($J$5,$E$33:$Q$45,1,FALSE)</f>
        <v>High</v>
      </c>
      <c r="H53" s="529" t="s">
        <v>1484</v>
      </c>
      <c r="I53" s="1219" t="s">
        <v>1467</v>
      </c>
      <c r="L53" s="2365" t="s">
        <v>1494</v>
      </c>
      <c r="M53" s="2366"/>
      <c r="N53" s="2367"/>
      <c r="O53" s="1251" t="str">
        <f>J5</f>
        <v>High</v>
      </c>
      <c r="Q53" s="88"/>
    </row>
    <row r="54" spans="4:17" ht="16.75" thickTop="1" thickBot="1">
      <c r="D54" s="75"/>
      <c r="E54" s="1189" t="s">
        <v>1459</v>
      </c>
      <c r="F54" s="1188">
        <f>HLOOKUP($O$5,$E$33:$Q$45,2,FALSE)</f>
        <v>7</v>
      </c>
      <c r="G54" s="1218" t="str">
        <f>HLOOKUP($O$5,$E$33:$Q$45,1,FALSE)</f>
        <v>Moderate</v>
      </c>
      <c r="H54" s="529" t="s">
        <v>1485</v>
      </c>
      <c r="I54" s="1220" t="s">
        <v>1468</v>
      </c>
      <c r="L54" s="962" t="s">
        <v>1437</v>
      </c>
      <c r="M54" s="1245" t="str">
        <f>$F$56</f>
        <v>80</v>
      </c>
      <c r="N54" s="968" t="s">
        <v>1472</v>
      </c>
      <c r="O54" s="1274">
        <f>$H$62</f>
        <v>59</v>
      </c>
      <c r="Q54" s="88"/>
    </row>
    <row r="55" spans="4:17" ht="16.75" thickTop="1" thickBot="1">
      <c r="D55" s="75"/>
      <c r="F55" s="1238"/>
      <c r="L55" s="974" t="s">
        <v>1438</v>
      </c>
      <c r="M55" s="1246">
        <f>$H$5</f>
        <v>88</v>
      </c>
      <c r="N55" s="972" t="s">
        <v>1486</v>
      </c>
      <c r="O55" s="1252">
        <f>O54+(M57/100)*(O56-O54)</f>
        <v>68.25</v>
      </c>
      <c r="Q55" s="88"/>
    </row>
    <row r="56" spans="4:17" ht="16.75" thickTop="1" thickBot="1">
      <c r="D56" s="75"/>
      <c r="E56" s="529" t="s">
        <v>1479</v>
      </c>
      <c r="F56" s="1241" t="str">
        <f>CONCATENATE( IF($J$5="Very High", 96, ""), IF($J$5="High", 80, ""), IF($J$5="Moderate", 21, ""), IF($J$5="Low", 5, ""), IF($J$5="Very Low", 0,""))</f>
        <v>80</v>
      </c>
      <c r="G56" s="1239" t="str">
        <f>VLOOKUP($J$5,$E$33:$Q$45,1,FALSE)</f>
        <v>High</v>
      </c>
      <c r="L56" s="964" t="s">
        <v>1439</v>
      </c>
      <c r="M56" s="1247" t="str">
        <f>$F$57</f>
        <v>96</v>
      </c>
      <c r="N56" s="970" t="s">
        <v>1473</v>
      </c>
      <c r="O56" s="1271">
        <f>$J$62</f>
        <v>77.5</v>
      </c>
      <c r="Q56" s="88"/>
    </row>
    <row r="57" spans="4:17" ht="16.75" thickTop="1" thickBot="1">
      <c r="D57" s="75"/>
      <c r="E57" s="529" t="s">
        <v>1480</v>
      </c>
      <c r="F57" s="1241" t="str">
        <f>CONCATENATE( IF($J$5="Very High", 100, ""), IF($J$5="High", 96, ""), IF($J$5="Moderate", 80, ""), IF($J$5="Low", 21, ""), IF($J$5="Very Low", 5,""))</f>
        <v>96</v>
      </c>
      <c r="I57" s="833" t="s">
        <v>1483</v>
      </c>
      <c r="L57" s="966" t="s">
        <v>1440</v>
      </c>
      <c r="M57" s="967">
        <f>100*(M55-M54)/(M56-M54)</f>
        <v>50</v>
      </c>
      <c r="O57" s="98"/>
      <c r="P57" s="1253" t="s">
        <v>1497</v>
      </c>
      <c r="Q57" s="88"/>
    </row>
    <row r="58" spans="4:17" ht="16.75" thickTop="1" thickBot="1">
      <c r="D58" s="75"/>
      <c r="F58" s="1238"/>
      <c r="I58" s="833">
        <f>$M$5</f>
        <v>51</v>
      </c>
      <c r="O58" s="100"/>
      <c r="P58" s="1200" t="str">
        <f>CONCATENATE(IF($P$59 &lt; 5, "Very Low", ""), IF( AND( IF($P$59 &gt;= 5, 1, 0),  IF($P$59 &lt; 21, 1, 0) ), "Low", ""), IF( AND( IF($P$59 &gt;= 21, 1, 0),  IF($P$59 &lt; 80, 1, 0) ), "Moderate", ""), IF( AND( IF($P$59 &gt;= 80, 1, 0),  IF($P$59 &lt; 96, 1, 0) ), "High", ""), IF( AND( IF($P$59 &gt;= 96, 1, 0),  IF($P$59 &lt;= 100, 1, 0) ), "Very High", "") )</f>
        <v>Moderate</v>
      </c>
      <c r="Q58" s="88"/>
    </row>
    <row r="59" spans="4:17" ht="16.75" thickTop="1" thickBot="1">
      <c r="D59" s="75"/>
      <c r="E59" s="529" t="s">
        <v>1481</v>
      </c>
      <c r="F59" s="1241" t="str">
        <f>CONCATENATE( IF($O$5="Very High", 96, ""), IF($O$5="High", 80, ""), IF($O$5="Moderate", 21, ""), IF($O$5="Low", 5, ""), IF($O$5="Very Low", 0,""))</f>
        <v>21</v>
      </c>
      <c r="G59" s="1240" t="str">
        <f>HLOOKUP($O$5,$E$33:$Q$45,1,FALSE)</f>
        <v>Moderate</v>
      </c>
      <c r="I59" s="833" t="str">
        <f>$G$54</f>
        <v>Moderate</v>
      </c>
      <c r="J59" s="92"/>
      <c r="L59" s="2256" t="s">
        <v>1495</v>
      </c>
      <c r="M59" s="2257"/>
      <c r="N59" s="2258"/>
      <c r="O59" s="1251" t="str">
        <f>$O$5</f>
        <v>Moderate</v>
      </c>
      <c r="P59" s="1200">
        <f>ROUND(SQRT(SUMSQ($O$55,$O$61)/2), 1)</f>
        <v>65</v>
      </c>
      <c r="Q59" s="88"/>
    </row>
    <row r="60" spans="4:17" ht="16.75" thickTop="1" thickBot="1">
      <c r="D60" s="75"/>
      <c r="E60" s="529" t="s">
        <v>1482</v>
      </c>
      <c r="F60" s="1241" t="str">
        <f>CONCATENATE( IF($O$5="Very High", 100, ""), IF($O$5="High", 96, ""), IF($O$5="Moderate", 80, ""), IF($O$5="Low", 21, ""), IF($O$5="Very Low", 5,""))</f>
        <v>80</v>
      </c>
      <c r="H60" s="1009"/>
      <c r="I60" s="1227" t="s">
        <v>1477</v>
      </c>
      <c r="J60" s="97"/>
      <c r="L60" s="962" t="s">
        <v>1320</v>
      </c>
      <c r="M60" s="1245" t="str">
        <f>$F$59</f>
        <v>21</v>
      </c>
      <c r="N60" s="968" t="s">
        <v>1474</v>
      </c>
      <c r="O60" s="1272">
        <f>$I$63</f>
        <v>55.5</v>
      </c>
      <c r="P60" s="1254">
        <f>SQRT(SUMSQ($O$55,$O$61)/2)</f>
        <v>65.010888766544554</v>
      </c>
      <c r="Q60" s="88"/>
    </row>
    <row r="61" spans="4:17" ht="15.45" thickTop="1" thickBot="1">
      <c r="D61" s="75"/>
      <c r="H61" s="1224" t="s">
        <v>1469</v>
      </c>
      <c r="I61" s="735">
        <f>HLOOKUP($O$5,$E$33:$Q$45, VLOOKUP($J$5,$E$33:$Q$45,2,FALSE),FALSE)</f>
        <v>67.5</v>
      </c>
      <c r="J61" s="1225" t="s">
        <v>1470</v>
      </c>
      <c r="L61" s="974" t="s">
        <v>1321</v>
      </c>
      <c r="M61" s="1246">
        <f>$M$5</f>
        <v>51</v>
      </c>
      <c r="N61" s="972" t="s">
        <v>1476</v>
      </c>
      <c r="O61" s="1252">
        <f>O60+(M63/100)*(O62-O60)</f>
        <v>61.601694915254235</v>
      </c>
      <c r="Q61" s="88"/>
    </row>
    <row r="62" spans="4:17" ht="15.45" thickTop="1" thickBot="1">
      <c r="D62" s="75"/>
      <c r="E62" s="1242" t="s">
        <v>1478</v>
      </c>
      <c r="F62" s="1243">
        <f>$H$5</f>
        <v>88</v>
      </c>
      <c r="G62" s="1244" t="str">
        <f>$J$5</f>
        <v>High</v>
      </c>
      <c r="H62" s="1229">
        <f>VLOOKUP($J$5,$E$33:$Q$45, HLOOKUP($O$5,$E$33:$Q$45,2,FALSE),FALSE)</f>
        <v>59</v>
      </c>
      <c r="I62" s="834">
        <f>VLOOKUP($J$5,$E$33:$Q$45, HLOOKUP($O$5,$E$33:$Q$45,2,FALSE)+1,FALSE)</f>
        <v>60</v>
      </c>
      <c r="J62" s="1226">
        <f>VLOOKUP($J$5,$E$33:$Q$45, HLOOKUP($O$5,$E$33:$Q$45,2,FALSE)+2,FALSE)</f>
        <v>77.5</v>
      </c>
      <c r="L62" s="964" t="s">
        <v>1322</v>
      </c>
      <c r="M62" s="1247" t="str">
        <f>$F$60</f>
        <v>80</v>
      </c>
      <c r="N62" s="970" t="s">
        <v>1475</v>
      </c>
      <c r="O62" s="1273">
        <f>$I$61</f>
        <v>67.5</v>
      </c>
      <c r="Q62" s="88"/>
    </row>
    <row r="63" spans="4:17" ht="15.45" thickTop="1" thickBot="1">
      <c r="D63" s="75"/>
      <c r="G63" s="6"/>
      <c r="H63" s="1011"/>
      <c r="I63" s="735">
        <f>HLOOKUP($O$5,$E$33:$Q$45, VLOOKUP($J$5,$E$33:$Q$45,2,FALSE)+2,FALSE)</f>
        <v>55.5</v>
      </c>
      <c r="J63" s="88"/>
      <c r="L63" s="966" t="s">
        <v>1441</v>
      </c>
      <c r="M63" s="967">
        <f>100*(M61-M60)/(M62-M60)</f>
        <v>50.847457627118644</v>
      </c>
      <c r="Q63" s="88"/>
    </row>
    <row r="64" spans="4:17" ht="15.45" thickTop="1" thickBot="1">
      <c r="D64" s="75"/>
      <c r="H64" s="1014"/>
      <c r="I64" s="1228" t="s">
        <v>1471</v>
      </c>
      <c r="J64" s="807"/>
      <c r="Q64" s="88"/>
    </row>
    <row r="65" spans="4:17" ht="15" thickTop="1">
      <c r="D65" s="75"/>
      <c r="Q65" s="88"/>
    </row>
    <row r="66" spans="4:17" ht="15" thickBot="1">
      <c r="D66" s="92"/>
      <c r="E66" s="99"/>
      <c r="F66" s="99"/>
      <c r="G66" s="99"/>
      <c r="H66" s="99"/>
      <c r="I66" s="99"/>
      <c r="J66" s="99"/>
      <c r="K66" s="99"/>
      <c r="L66" s="99"/>
      <c r="M66" s="99"/>
      <c r="N66" s="99"/>
      <c r="O66" s="99"/>
      <c r="P66" s="99"/>
      <c r="Q66" s="807"/>
    </row>
    <row r="67" spans="4:17" ht="15" thickTop="1"/>
    <row r="89" spans="5:16" ht="15" thickBot="1"/>
    <row r="90" spans="5:16" ht="15.45" thickTop="1" thickBot="1">
      <c r="E90" s="1276"/>
      <c r="F90" s="1277"/>
      <c r="G90" s="1277"/>
      <c r="H90" s="1277"/>
      <c r="I90" s="1277"/>
      <c r="J90" s="1277"/>
      <c r="K90" s="1277"/>
      <c r="L90" s="1277"/>
      <c r="M90" s="1277"/>
      <c r="N90" s="1277"/>
      <c r="O90" s="1277"/>
      <c r="P90" s="1278"/>
    </row>
    <row r="91" spans="5:16" ht="16.75" thickTop="1" thickBot="1">
      <c r="E91" s="1279"/>
      <c r="J91" s="2368" t="s">
        <v>1443</v>
      </c>
      <c r="K91" s="2369"/>
      <c r="L91" s="2369"/>
      <c r="M91" s="2369"/>
      <c r="N91" s="2370"/>
      <c r="P91" s="1280"/>
    </row>
    <row r="92" spans="5:16" ht="16.75" thickTop="1" thickBot="1">
      <c r="E92" s="1279"/>
      <c r="F92" s="2368" t="s">
        <v>1442</v>
      </c>
      <c r="G92" s="2369"/>
      <c r="H92" s="2369"/>
      <c r="I92" s="2370"/>
      <c r="J92" s="1146" t="s">
        <v>1436</v>
      </c>
      <c r="K92" s="1147" t="s">
        <v>1432</v>
      </c>
      <c r="L92" s="1148" t="s">
        <v>1433</v>
      </c>
      <c r="M92" s="1149" t="s">
        <v>1434</v>
      </c>
      <c r="N92" s="1150" t="s">
        <v>1435</v>
      </c>
      <c r="P92" s="1280"/>
    </row>
    <row r="93" spans="5:16" ht="16.5" customHeight="1" thickTop="1" thickBot="1">
      <c r="E93" s="1279"/>
      <c r="H93" s="1259" t="s">
        <v>1450</v>
      </c>
      <c r="I93" s="1337" t="s">
        <v>1607</v>
      </c>
      <c r="J93" s="1152" t="s">
        <v>348</v>
      </c>
      <c r="K93" s="1151" t="s">
        <v>238</v>
      </c>
      <c r="L93" s="1153" t="s">
        <v>260</v>
      </c>
      <c r="M93" s="1154" t="s">
        <v>261</v>
      </c>
      <c r="N93" s="1059" t="s">
        <v>235</v>
      </c>
      <c r="O93" s="1281" t="s">
        <v>1586</v>
      </c>
      <c r="P93" s="1280"/>
    </row>
    <row r="94" spans="5:16" ht="16.5" customHeight="1" thickTop="1" thickBot="1">
      <c r="E94" s="1279"/>
      <c r="G94" s="1141"/>
      <c r="H94" s="1338" t="s">
        <v>1606</v>
      </c>
      <c r="I94" s="1172">
        <v>1</v>
      </c>
      <c r="J94" s="1155">
        <v>2</v>
      </c>
      <c r="K94" s="1166">
        <v>3</v>
      </c>
      <c r="L94" s="1268">
        <v>4</v>
      </c>
      <c r="M94" s="1155">
        <v>5</v>
      </c>
      <c r="N94" s="1155">
        <v>6</v>
      </c>
      <c r="O94" s="1159">
        <v>2</v>
      </c>
      <c r="P94" s="1280"/>
    </row>
    <row r="95" spans="5:16" ht="15.45" thickTop="1" thickBot="1">
      <c r="E95" s="1279"/>
      <c r="G95" s="1142" t="s">
        <v>1436</v>
      </c>
      <c r="H95" s="1125" t="s">
        <v>348</v>
      </c>
      <c r="I95" s="1267">
        <v>2</v>
      </c>
      <c r="J95" s="1125" t="s">
        <v>348</v>
      </c>
      <c r="K95" s="1125" t="s">
        <v>348</v>
      </c>
      <c r="L95" s="1125" t="s">
        <v>348</v>
      </c>
      <c r="M95" s="1124" t="s">
        <v>238</v>
      </c>
      <c r="N95" s="1124" t="s">
        <v>1598</v>
      </c>
      <c r="O95" s="1281">
        <v>3</v>
      </c>
      <c r="P95" s="1280"/>
    </row>
    <row r="96" spans="5:16" ht="15.45" thickTop="1" thickBot="1">
      <c r="E96" s="1279"/>
      <c r="G96" s="1117" t="s">
        <v>1432</v>
      </c>
      <c r="H96" s="1124" t="s">
        <v>238</v>
      </c>
      <c r="I96" s="1156">
        <v>3</v>
      </c>
      <c r="J96" s="1125" t="s">
        <v>348</v>
      </c>
      <c r="K96" s="1124" t="s">
        <v>238</v>
      </c>
      <c r="L96" s="1124" t="s">
        <v>238</v>
      </c>
      <c r="M96" s="1124" t="s">
        <v>1598</v>
      </c>
      <c r="N96" s="1123" t="s">
        <v>260</v>
      </c>
      <c r="O96" s="1281">
        <v>4</v>
      </c>
      <c r="P96" s="1280"/>
    </row>
    <row r="97" spans="5:16" ht="15.45" thickTop="1" thickBot="1">
      <c r="E97" s="1279"/>
      <c r="G97" s="1143" t="s">
        <v>1433</v>
      </c>
      <c r="H97" s="1123" t="s">
        <v>260</v>
      </c>
      <c r="I97" s="1156">
        <v>4</v>
      </c>
      <c r="J97" s="1125" t="s">
        <v>348</v>
      </c>
      <c r="K97" s="1124" t="s">
        <v>238</v>
      </c>
      <c r="L97" s="1123" t="s">
        <v>1599</v>
      </c>
      <c r="M97" s="1123" t="s">
        <v>260</v>
      </c>
      <c r="N97" s="1119" t="s">
        <v>261</v>
      </c>
      <c r="O97" s="1281">
        <v>5</v>
      </c>
      <c r="P97" s="1280"/>
    </row>
    <row r="98" spans="5:16" ht="15.45" thickTop="1" thickBot="1">
      <c r="E98" s="1279"/>
      <c r="G98" s="1144" t="s">
        <v>1434</v>
      </c>
      <c r="H98" s="1122" t="s">
        <v>261</v>
      </c>
      <c r="I98" s="1165">
        <v>5</v>
      </c>
      <c r="J98" s="1125" t="s">
        <v>348</v>
      </c>
      <c r="K98" s="1124" t="s">
        <v>1598</v>
      </c>
      <c r="L98" s="1123" t="s">
        <v>260</v>
      </c>
      <c r="M98" s="1119" t="s">
        <v>261</v>
      </c>
      <c r="N98" s="1046" t="s">
        <v>235</v>
      </c>
      <c r="O98" s="1281">
        <v>6</v>
      </c>
      <c r="P98" s="1280"/>
    </row>
    <row r="99" spans="5:16" ht="15.45" thickTop="1" thickBot="1">
      <c r="E99" s="1279"/>
      <c r="G99" s="1145" t="s">
        <v>1435</v>
      </c>
      <c r="H99" s="1121" t="s">
        <v>235</v>
      </c>
      <c r="I99" s="1157">
        <v>6</v>
      </c>
      <c r="J99" s="1125" t="s">
        <v>1600</v>
      </c>
      <c r="K99" s="1124" t="s">
        <v>238</v>
      </c>
      <c r="L99" s="1123" t="s">
        <v>260</v>
      </c>
      <c r="M99" s="1119" t="s">
        <v>261</v>
      </c>
      <c r="N99" s="1046" t="s">
        <v>235</v>
      </c>
      <c r="O99" s="1281" t="s">
        <v>1587</v>
      </c>
      <c r="P99" s="1280"/>
    </row>
    <row r="100" spans="5:16" ht="15.45" thickTop="1" thickBot="1">
      <c r="E100" s="1279"/>
      <c r="H100" s="1281" t="s">
        <v>1596</v>
      </c>
      <c r="I100" s="1158">
        <v>2</v>
      </c>
      <c r="J100" s="1281">
        <v>3</v>
      </c>
      <c r="K100" s="1281">
        <v>4</v>
      </c>
      <c r="L100" s="1281">
        <v>5</v>
      </c>
      <c r="M100" s="1281">
        <v>6</v>
      </c>
      <c r="N100" s="1281" t="s">
        <v>1597</v>
      </c>
      <c r="O100" s="11"/>
      <c r="P100" s="1280"/>
    </row>
    <row r="101" spans="5:16" ht="15" thickTop="1">
      <c r="E101" s="1279"/>
      <c r="P101" s="1280"/>
    </row>
    <row r="102" spans="5:16" ht="15" thickBot="1">
      <c r="E102" s="1279"/>
      <c r="H102" s="1203" t="s">
        <v>1593</v>
      </c>
      <c r="J102" s="1203" t="s">
        <v>1592</v>
      </c>
      <c r="P102" s="1280"/>
    </row>
    <row r="103" spans="5:16" ht="15" thickBot="1">
      <c r="E103" s="1279"/>
      <c r="G103" s="1162" t="s">
        <v>1590</v>
      </c>
      <c r="H103" s="1233" t="s">
        <v>348</v>
      </c>
      <c r="I103" s="1162" t="s">
        <v>1539</v>
      </c>
      <c r="J103" s="1285">
        <v>7</v>
      </c>
      <c r="K103" s="1162" t="s">
        <v>1541</v>
      </c>
      <c r="L103" s="1233" t="str">
        <f>VLOOKUP($H$103,$H$93:$N$99,J103,FALSE)</f>
        <v>Low_</v>
      </c>
      <c r="M103" s="1160" t="s">
        <v>1594</v>
      </c>
      <c r="N103" s="1235">
        <f>VLOOKUP($H$103,$H$93:$N$99,2,FALSE)</f>
        <v>2</v>
      </c>
      <c r="P103" s="1280"/>
    </row>
    <row r="104" spans="5:16" ht="15" thickBot="1">
      <c r="E104" s="1279"/>
      <c r="G104" s="1163" t="s">
        <v>1591</v>
      </c>
      <c r="H104" s="1234" t="s">
        <v>260</v>
      </c>
      <c r="I104" s="1163" t="s">
        <v>1540</v>
      </c>
      <c r="J104" s="1285">
        <v>5</v>
      </c>
      <c r="K104" s="1163" t="s">
        <v>1542</v>
      </c>
      <c r="L104" s="1234" t="str">
        <f>HLOOKUP($H$104,$H$93:$N$99,J104,FALSE)</f>
        <v>Moderate_</v>
      </c>
      <c r="M104" s="1161" t="s">
        <v>1595</v>
      </c>
      <c r="N104" s="1236">
        <f>HLOOKUP($H$104,$H$93:$N$99,2,FALSE)</f>
        <v>4</v>
      </c>
      <c r="P104" s="1280"/>
    </row>
    <row r="105" spans="5:16">
      <c r="E105" s="1279"/>
      <c r="P105" s="1280"/>
    </row>
    <row r="106" spans="5:16" ht="15" thickBot="1">
      <c r="E106" s="1279"/>
      <c r="H106" s="534"/>
      <c r="I106" s="1173"/>
      <c r="J106" s="534"/>
      <c r="K106" s="1173"/>
      <c r="L106" s="534"/>
      <c r="M106" s="1173"/>
      <c r="P106" s="1280"/>
    </row>
    <row r="107" spans="5:16" ht="15.75" customHeight="1" thickTop="1">
      <c r="E107" s="1279"/>
      <c r="F107" s="2374" t="s">
        <v>1456</v>
      </c>
      <c r="G107" s="2375"/>
      <c r="H107" s="2375"/>
      <c r="I107" s="2375"/>
      <c r="J107" s="2375"/>
      <c r="K107" s="2375"/>
      <c r="L107" s="2375"/>
      <c r="M107" s="2375"/>
      <c r="N107" s="2375"/>
      <c r="O107" s="2392"/>
      <c r="P107" s="1280"/>
    </row>
    <row r="108" spans="5:16" ht="15" thickBot="1">
      <c r="E108" s="1279"/>
      <c r="F108" s="1175"/>
      <c r="G108" s="1182"/>
      <c r="H108" s="1183"/>
      <c r="I108" s="1182"/>
      <c r="J108" s="1183"/>
      <c r="K108" s="1182"/>
      <c r="L108" s="1183"/>
      <c r="M108" s="1184"/>
      <c r="N108" s="1184"/>
      <c r="O108" s="1180"/>
      <c r="P108" s="1280"/>
    </row>
    <row r="109" spans="5:16" ht="16.75" thickTop="1" thickBot="1">
      <c r="E109" s="1279"/>
      <c r="F109" s="1176" t="s">
        <v>1457</v>
      </c>
      <c r="G109" s="1185">
        <f>HLOOKUP(K109,$H$93:$N$99,2,FALSE)</f>
        <v>2</v>
      </c>
      <c r="H109" s="1182" t="s">
        <v>1455</v>
      </c>
      <c r="I109" s="1186" t="str">
        <f>VLOOKUP(K109,$H$93:$N$99, HLOOKUP(K110,$H$93:$N$99,2,FALSE)+1,FALSE)</f>
        <v>Very Low</v>
      </c>
      <c r="J109" s="1178" t="s">
        <v>1452</v>
      </c>
      <c r="K109" s="1187" t="s">
        <v>348</v>
      </c>
      <c r="L109" s="1184" t="s">
        <v>1454</v>
      </c>
      <c r="M109" s="1223" t="s">
        <v>1465</v>
      </c>
      <c r="N109" s="1219" t="s">
        <v>1498</v>
      </c>
      <c r="O109" s="1180"/>
      <c r="P109" s="1280"/>
    </row>
    <row r="110" spans="5:16" ht="16.75" thickTop="1" thickBot="1">
      <c r="E110" s="1279"/>
      <c r="F110" s="1176" t="s">
        <v>1451</v>
      </c>
      <c r="G110" s="1185">
        <f>VLOOKUP(K110,$H$93:$N$99,2,FALSE)</f>
        <v>4</v>
      </c>
      <c r="H110" s="1184"/>
      <c r="I110" s="1184"/>
      <c r="J110" s="1178" t="s">
        <v>1453</v>
      </c>
      <c r="K110" s="1187" t="s">
        <v>260</v>
      </c>
      <c r="L110" s="1184" t="s">
        <v>1458</v>
      </c>
      <c r="M110" s="1223" t="s">
        <v>1466</v>
      </c>
      <c r="N110" s="1220" t="s">
        <v>1499</v>
      </c>
      <c r="O110" s="1180"/>
      <c r="P110" s="1280"/>
    </row>
    <row r="111" spans="5:16" ht="15" thickTop="1">
      <c r="E111" s="1279"/>
      <c r="F111" s="1175"/>
      <c r="G111" s="1184"/>
      <c r="H111" s="1184"/>
      <c r="I111" s="1184"/>
      <c r="J111" s="1184"/>
      <c r="K111" s="1184"/>
      <c r="L111" s="1184"/>
      <c r="M111" s="1184"/>
      <c r="N111" s="1184"/>
      <c r="O111" s="1180"/>
      <c r="P111" s="1280"/>
    </row>
    <row r="112" spans="5:16" ht="15" thickBot="1">
      <c r="E112" s="1279"/>
      <c r="F112" s="1177"/>
      <c r="G112" s="1179"/>
      <c r="H112" s="1179"/>
      <c r="I112" s="1179"/>
      <c r="J112" s="1179"/>
      <c r="K112" s="1179"/>
      <c r="L112" s="1179"/>
      <c r="M112" s="1179"/>
      <c r="N112" s="1179"/>
      <c r="O112" s="1181"/>
      <c r="P112" s="1280"/>
    </row>
    <row r="113" spans="5:16" ht="15.45" thickTop="1" thickBot="1">
      <c r="E113" s="1282"/>
      <c r="F113" s="1283"/>
      <c r="G113" s="1283"/>
      <c r="H113" s="1283"/>
      <c r="I113" s="1283"/>
      <c r="J113" s="1283"/>
      <c r="K113" s="1283"/>
      <c r="L113" s="1283"/>
      <c r="M113" s="1283"/>
      <c r="N113" s="1283"/>
      <c r="O113" s="1283"/>
      <c r="P113" s="1284"/>
    </row>
    <row r="114" spans="5:16" ht="15" thickTop="1"/>
    <row r="117" spans="5:16" ht="15" thickBot="1"/>
    <row r="118" spans="5:16" ht="26.6" thickTop="1">
      <c r="H118" s="1276"/>
      <c r="I118" s="1277"/>
      <c r="J118" s="1323" t="s">
        <v>1534</v>
      </c>
      <c r="K118" s="1277"/>
      <c r="L118" s="1277"/>
      <c r="M118" s="1277"/>
      <c r="N118" s="1278"/>
    </row>
    <row r="119" spans="5:16" ht="15" thickBot="1">
      <c r="H119" s="1324"/>
      <c r="I119" s="99"/>
      <c r="J119" s="99"/>
      <c r="K119" s="99"/>
      <c r="L119" s="99"/>
      <c r="M119" s="99"/>
      <c r="N119" s="1325"/>
    </row>
    <row r="120" spans="5:16" ht="15" thickTop="1">
      <c r="H120" s="2352" t="s">
        <v>1496</v>
      </c>
      <c r="I120" s="2353"/>
      <c r="J120" s="2353"/>
      <c r="K120" s="2353"/>
      <c r="L120" s="2353"/>
      <c r="M120" s="2353"/>
      <c r="N120" s="2382"/>
    </row>
    <row r="121" spans="5:16" ht="15" thickBot="1">
      <c r="H121" s="2354"/>
      <c r="I121" s="2355"/>
      <c r="J121" s="2355"/>
      <c r="K121" s="2355"/>
      <c r="L121" s="2355"/>
      <c r="M121" s="2355"/>
      <c r="N121" s="2383"/>
    </row>
    <row r="122" spans="5:16" ht="19.3" thickTop="1" thickBot="1">
      <c r="H122" s="2346" t="s">
        <v>1493</v>
      </c>
      <c r="I122" s="2347"/>
      <c r="J122" s="2362" t="s">
        <v>1492</v>
      </c>
      <c r="K122" s="2393"/>
      <c r="L122" s="2393"/>
      <c r="M122" s="2393"/>
      <c r="N122" s="2394"/>
    </row>
    <row r="123" spans="5:16" ht="16.75" thickTop="1" thickBot="1">
      <c r="H123" s="2348"/>
      <c r="I123" s="2349"/>
      <c r="J123" s="1286" t="s">
        <v>1431</v>
      </c>
      <c r="K123" s="1287" t="s">
        <v>1432</v>
      </c>
      <c r="L123" s="1288" t="s">
        <v>1433</v>
      </c>
      <c r="M123" s="1289" t="s">
        <v>1434</v>
      </c>
      <c r="N123" s="1290" t="s">
        <v>1435</v>
      </c>
    </row>
    <row r="124" spans="5:16" ht="16.75" thickTop="1" thickBot="1">
      <c r="H124" s="2350"/>
      <c r="I124" s="2351"/>
      <c r="J124" s="1291" t="s">
        <v>348</v>
      </c>
      <c r="K124" s="1292" t="s">
        <v>238</v>
      </c>
      <c r="L124" s="1293" t="s">
        <v>260</v>
      </c>
      <c r="M124" s="1294" t="s">
        <v>261</v>
      </c>
      <c r="N124" s="1295" t="s">
        <v>235</v>
      </c>
    </row>
    <row r="125" spans="5:16" ht="16.75" thickTop="1" thickBot="1">
      <c r="H125" s="1296" t="s">
        <v>1435</v>
      </c>
      <c r="I125" s="1297" t="s">
        <v>235</v>
      </c>
      <c r="J125" s="1298" t="s">
        <v>1543</v>
      </c>
      <c r="K125" s="1299" t="s">
        <v>1544</v>
      </c>
      <c r="L125" s="1300" t="s">
        <v>1545</v>
      </c>
      <c r="M125" s="1301" t="s">
        <v>1546</v>
      </c>
      <c r="N125" s="1302" t="s">
        <v>1547</v>
      </c>
    </row>
    <row r="126" spans="5:16" ht="16.75" thickTop="1" thickBot="1">
      <c r="H126" s="1303" t="s">
        <v>1434</v>
      </c>
      <c r="I126" s="1304" t="s">
        <v>261</v>
      </c>
      <c r="J126" s="1298" t="s">
        <v>1548</v>
      </c>
      <c r="K126" s="1305" t="s">
        <v>1549</v>
      </c>
      <c r="L126" s="1306" t="s">
        <v>1550</v>
      </c>
      <c r="M126" s="1307" t="s">
        <v>1551</v>
      </c>
      <c r="N126" s="1308" t="s">
        <v>1552</v>
      </c>
    </row>
    <row r="127" spans="5:16" ht="16.75" thickTop="1" thickBot="1">
      <c r="H127" s="1309" t="s">
        <v>1433</v>
      </c>
      <c r="I127" s="1310" t="s">
        <v>260</v>
      </c>
      <c r="J127" s="1298" t="s">
        <v>1553</v>
      </c>
      <c r="K127" s="1311" t="s">
        <v>1554</v>
      </c>
      <c r="L127" s="1306" t="s">
        <v>1555</v>
      </c>
      <c r="M127" s="1306" t="s">
        <v>1556</v>
      </c>
      <c r="N127" s="1312" t="s">
        <v>1557</v>
      </c>
    </row>
    <row r="128" spans="5:16" ht="16.75" thickTop="1" thickBot="1">
      <c r="H128" s="1313" t="s">
        <v>1432</v>
      </c>
      <c r="I128" s="1314" t="s">
        <v>238</v>
      </c>
      <c r="J128" s="1298" t="s">
        <v>1558</v>
      </c>
      <c r="K128" s="1311" t="s">
        <v>1559</v>
      </c>
      <c r="L128" s="1305" t="s">
        <v>1560</v>
      </c>
      <c r="M128" s="1305" t="s">
        <v>1561</v>
      </c>
      <c r="N128" s="1315" t="s">
        <v>1562</v>
      </c>
    </row>
    <row r="129" spans="8:14" ht="16.75" thickTop="1" thickBot="1">
      <c r="H129" s="1316" t="s">
        <v>1436</v>
      </c>
      <c r="I129" s="1317" t="s">
        <v>348</v>
      </c>
      <c r="J129" s="1318" t="s">
        <v>1563</v>
      </c>
      <c r="K129" s="1319" t="s">
        <v>1564</v>
      </c>
      <c r="L129" s="1320" t="s">
        <v>1565</v>
      </c>
      <c r="M129" s="1321" t="s">
        <v>1566</v>
      </c>
      <c r="N129" s="1322" t="s">
        <v>1567</v>
      </c>
    </row>
    <row r="130" spans="8:14" ht="15" thickTop="1"/>
  </sheetData>
  <mergeCells count="14">
    <mergeCell ref="L59:N59"/>
    <mergeCell ref="D2:P3"/>
    <mergeCell ref="D31:G32"/>
    <mergeCell ref="H31:P31"/>
    <mergeCell ref="D50:Q50"/>
    <mergeCell ref="L53:N53"/>
    <mergeCell ref="G4:H4"/>
    <mergeCell ref="L4:M4"/>
    <mergeCell ref="J91:N91"/>
    <mergeCell ref="F92:I92"/>
    <mergeCell ref="F107:O107"/>
    <mergeCell ref="H120:N121"/>
    <mergeCell ref="H122:I124"/>
    <mergeCell ref="J122:N122"/>
  </mergeCells>
  <dataValidations count="2">
    <dataValidation type="list" allowBlank="1" showInputMessage="1" showErrorMessage="1" sqref="J103:J104" xr:uid="{00000000-0002-0000-1A00-000000000000}">
      <formula1>"1,2,3,4,5,6,7"</formula1>
    </dataValidation>
    <dataValidation type="list" allowBlank="1" showInputMessage="1" showErrorMessage="1" sqref="H103:H104 K109:K110" xr:uid="{00000000-0002-0000-1A00-000001000000}">
      <formula1>$H$95:$H$99</formula1>
    </dataValidation>
  </dataValidations>
  <pageMargins left="0.7" right="0.7" top="0.75" bottom="0.75" header="0.3" footer="0.3"/>
  <pageSetup orientation="portrait"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3B6FA7-77C1-4692-B956-09E55898C0F2}">
  <sheetPr>
    <tabColor theme="4" tint="0.39997558519241921"/>
  </sheetPr>
  <dimension ref="A1:A23"/>
  <sheetViews>
    <sheetView workbookViewId="0">
      <selection activeCell="A39" sqref="A39"/>
    </sheetView>
  </sheetViews>
  <sheetFormatPr defaultRowHeight="14.6"/>
  <cols>
    <col min="1" max="1" width="128.69140625" customWidth="1"/>
  </cols>
  <sheetData>
    <row r="1" spans="1:1" ht="18">
      <c r="A1" s="2615" t="s">
        <v>2231</v>
      </c>
    </row>
    <row r="2" spans="1:1" ht="18">
      <c r="A2" s="2615" t="s">
        <v>2232</v>
      </c>
    </row>
    <row r="3" spans="1:1" ht="18">
      <c r="A3" s="2615" t="s">
        <v>2233</v>
      </c>
    </row>
    <row r="4" spans="1:1" ht="18">
      <c r="A4" s="2615" t="s">
        <v>2234</v>
      </c>
    </row>
    <row r="5" spans="1:1" ht="18">
      <c r="A5" s="2615" t="s">
        <v>2235</v>
      </c>
    </row>
    <row r="6" spans="1:1" ht="18">
      <c r="A6" s="2615"/>
    </row>
    <row r="7" spans="1:1" ht="18">
      <c r="A7" s="2615" t="s">
        <v>2236</v>
      </c>
    </row>
    <row r="8" spans="1:1" ht="18">
      <c r="A8" s="2615" t="s">
        <v>2237</v>
      </c>
    </row>
    <row r="9" spans="1:1" ht="18">
      <c r="A9" s="2615" t="s">
        <v>2238</v>
      </c>
    </row>
    <row r="10" spans="1:1" ht="18">
      <c r="A10" s="2615"/>
    </row>
    <row r="11" spans="1:1" ht="18">
      <c r="A11" s="2615" t="s">
        <v>2239</v>
      </c>
    </row>
    <row r="12" spans="1:1" ht="18">
      <c r="A12" s="2615" t="s">
        <v>2240</v>
      </c>
    </row>
    <row r="13" spans="1:1" ht="18">
      <c r="A13" s="2616" t="s">
        <v>2241</v>
      </c>
    </row>
    <row r="14" spans="1:1" ht="18">
      <c r="A14" s="2616" t="s">
        <v>2242</v>
      </c>
    </row>
    <row r="15" spans="1:1" ht="18">
      <c r="A15" s="2616" t="s">
        <v>2243</v>
      </c>
    </row>
    <row r="16" spans="1:1" ht="18">
      <c r="A16" s="2616" t="s">
        <v>2244</v>
      </c>
    </row>
    <row r="17" spans="1:1" ht="18">
      <c r="A17" s="2616" t="s">
        <v>2245</v>
      </c>
    </row>
    <row r="18" spans="1:1" ht="18">
      <c r="A18" s="2616" t="s">
        <v>2246</v>
      </c>
    </row>
    <row r="19" spans="1:1" ht="18">
      <c r="A19" s="2616" t="s">
        <v>2247</v>
      </c>
    </row>
    <row r="20" spans="1:1" ht="18">
      <c r="A20" s="2616" t="s">
        <v>2248</v>
      </c>
    </row>
    <row r="21" spans="1:1" ht="18">
      <c r="A21" s="2616" t="s">
        <v>2249</v>
      </c>
    </row>
    <row r="22" spans="1:1" ht="18">
      <c r="A22" s="2616" t="s">
        <v>2250</v>
      </c>
    </row>
    <row r="23" spans="1:1" ht="18">
      <c r="A23" s="2616" t="s">
        <v>2251</v>
      </c>
    </row>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D1:R109"/>
  <sheetViews>
    <sheetView workbookViewId="0"/>
  </sheetViews>
  <sheetFormatPr defaultRowHeight="14.6"/>
  <cols>
    <col min="3" max="3" width="75.3828125" customWidth="1"/>
    <col min="4" max="5" width="26.69140625" customWidth="1"/>
    <col min="6" max="6" width="20.69140625" customWidth="1"/>
    <col min="7" max="11" width="26.69140625" customWidth="1"/>
    <col min="12" max="12" width="28.69140625" customWidth="1"/>
    <col min="13" max="14" width="30.69140625" customWidth="1"/>
    <col min="15" max="17" width="26.69140625" customWidth="1"/>
    <col min="18" max="19" width="24.69140625" customWidth="1"/>
  </cols>
  <sheetData>
    <row r="1" spans="4:18" ht="15" thickBot="1"/>
    <row r="2" spans="4:18" ht="15.75" customHeight="1" thickTop="1">
      <c r="D2" s="2352" t="s">
        <v>1444</v>
      </c>
      <c r="E2" s="2353"/>
      <c r="F2" s="2353"/>
      <c r="G2" s="2353"/>
      <c r="H2" s="2353"/>
      <c r="I2" s="2353"/>
      <c r="J2" s="2353"/>
      <c r="K2" s="2353"/>
      <c r="L2" s="2353"/>
      <c r="M2" s="2353"/>
      <c r="N2" s="2353"/>
      <c r="O2" s="2353"/>
      <c r="P2" s="2382"/>
    </row>
    <row r="3" spans="4:18" ht="15" thickBot="1">
      <c r="D3" s="2354"/>
      <c r="E3" s="2355"/>
      <c r="F3" s="2355"/>
      <c r="G3" s="2355"/>
      <c r="H3" s="2355"/>
      <c r="I3" s="2355"/>
      <c r="J3" s="2355"/>
      <c r="K3" s="2355"/>
      <c r="L3" s="2355"/>
      <c r="M3" s="2355"/>
      <c r="N3" s="2355"/>
      <c r="O3" s="2355"/>
      <c r="P3" s="2383"/>
    </row>
    <row r="4" spans="4:18" ht="15.45" thickTop="1" thickBot="1">
      <c r="D4" s="1137"/>
      <c r="E4" s="31"/>
      <c r="F4" s="31"/>
      <c r="G4" s="31"/>
      <c r="H4" s="31"/>
      <c r="I4" s="31"/>
      <c r="J4" s="31"/>
      <c r="K4" s="31"/>
      <c r="L4" s="31"/>
      <c r="M4" s="31"/>
      <c r="N4" s="31"/>
      <c r="O4" s="31"/>
      <c r="P4" s="1139"/>
    </row>
    <row r="5" spans="4:18" ht="21.45" thickTop="1" thickBot="1">
      <c r="D5" s="1164" t="s">
        <v>1447</v>
      </c>
      <c r="G5" s="1135" t="s">
        <v>1445</v>
      </c>
      <c r="H5" s="1169">
        <v>51</v>
      </c>
      <c r="I5" s="1134" t="s">
        <v>1449</v>
      </c>
      <c r="J5" s="1168" t="str">
        <f>CONCATENATE(IF(AND(IF(H$5&gt;=0,1,0),IF(H$5&lt;5,1,0)),"Very Low",""),IF(AND(IF(H$5&gt;=5,1,0),IF(H$5&lt;21,1,0)),"Low",""),IF(AND(IF(H$5&gt;=21,1,0),IF(H$5&lt;80,1,0)),"Moderate",""),IF(AND(IF(H$5&gt;=80,1,0),IF(H$5&lt;96,1,0)),"High",""),IF(AND(IF(H$5&gt;=96,1,0),IF(H$5&lt;100,1,0)),"Very High",""))</f>
        <v>Moderate</v>
      </c>
      <c r="L5" s="1136" t="s">
        <v>1446</v>
      </c>
      <c r="M5" s="1170">
        <v>13</v>
      </c>
      <c r="N5" s="1134" t="s">
        <v>1449</v>
      </c>
      <c r="O5" s="1168" t="str">
        <f>CONCATENATE(IF(AND(IF(M$5&gt;=0,1,0),IF(M$5&lt;5,1,0)),"Very Low",""),IF(AND(IF(M$5&gt;=5,1,0),IF(M$5&lt;21,1,0)),"Low",""),IF(AND(IF(M$5&gt;=21,1,0),IF(M$5&lt;80,1,0)),"Moderate",""),IF(AND(IF(M$5&gt;=80,1,0),IF(M$5&lt;96,1,0)),"High",""),IF(AND(IF(M$5&gt;=96,1,0),IF(M$5&lt;100,1,0)),"Very High",""))</f>
        <v>Low</v>
      </c>
      <c r="P5" s="88"/>
    </row>
    <row r="6" spans="4:18" ht="21.45" thickTop="1" thickBot="1">
      <c r="D6" s="75"/>
      <c r="E6" s="1134"/>
      <c r="F6" s="1134"/>
      <c r="G6" s="1047"/>
      <c r="H6" s="1047"/>
      <c r="J6" s="1134"/>
      <c r="K6" s="1047"/>
      <c r="L6" s="1047"/>
      <c r="M6" s="31"/>
      <c r="N6" s="1134"/>
      <c r="P6" s="1140"/>
      <c r="Q6" s="31"/>
    </row>
    <row r="7" spans="4:18" ht="24" thickTop="1" thickBot="1">
      <c r="D7" s="1164" t="s">
        <v>1448</v>
      </c>
      <c r="G7" s="1047"/>
      <c r="H7" s="1134" t="s">
        <v>1491</v>
      </c>
      <c r="I7" s="1270" t="str">
        <f>VLOOKUP($J$5,$H$72:$N$81,  HLOOKUP($O$5,$H$72:$N$81,2,FALSE)+1,  FALSE)</f>
        <v>Low</v>
      </c>
      <c r="M7" s="1134" t="s">
        <v>1490</v>
      </c>
      <c r="N7" s="1255">
        <f>P38</f>
        <v>23.6</v>
      </c>
      <c r="O7" s="1256" t="str">
        <f>P37</f>
        <v>Moderate</v>
      </c>
      <c r="P7" s="88"/>
    </row>
    <row r="8" spans="4:18" ht="21" thickTop="1">
      <c r="D8" s="1138"/>
      <c r="E8" s="1047"/>
      <c r="F8" s="1047"/>
      <c r="G8" s="1047"/>
      <c r="I8" s="1047"/>
      <c r="J8" s="1047"/>
      <c r="K8" s="1047"/>
      <c r="L8" s="31"/>
      <c r="M8" s="1134"/>
      <c r="N8" s="31"/>
      <c r="P8" s="1140"/>
      <c r="Q8" s="31"/>
    </row>
    <row r="9" spans="4:18" ht="15" thickBot="1">
      <c r="D9" s="92"/>
      <c r="P9" s="807"/>
    </row>
    <row r="10" spans="4:18" ht="19.3" thickTop="1" thickBot="1">
      <c r="D10" s="2356" t="s">
        <v>1442</v>
      </c>
      <c r="E10" s="2357"/>
      <c r="F10" s="2357"/>
      <c r="G10" s="2358"/>
      <c r="H10" s="2362" t="s">
        <v>1443</v>
      </c>
      <c r="I10" s="2363"/>
      <c r="J10" s="2363"/>
      <c r="K10" s="2363"/>
      <c r="L10" s="2363"/>
      <c r="M10" s="2363"/>
      <c r="N10" s="2363"/>
      <c r="O10" s="2363"/>
      <c r="P10" s="2364"/>
    </row>
    <row r="11" spans="4:18" ht="16.5" customHeight="1" thickTop="1" thickBot="1">
      <c r="D11" s="2359"/>
      <c r="E11" s="2360"/>
      <c r="F11" s="2360"/>
      <c r="G11" s="2361"/>
      <c r="H11" s="1132" t="s">
        <v>1431</v>
      </c>
      <c r="J11" s="1040" t="s">
        <v>1432</v>
      </c>
      <c r="L11" s="1042" t="s">
        <v>1433</v>
      </c>
      <c r="N11" s="1133" t="s">
        <v>1434</v>
      </c>
      <c r="P11" s="1041" t="s">
        <v>1435</v>
      </c>
    </row>
    <row r="12" spans="4:18" ht="16.5" customHeight="1" thickTop="1" thickBot="1">
      <c r="D12" s="1205"/>
      <c r="E12" s="1207" t="s">
        <v>1450</v>
      </c>
      <c r="F12" s="1216">
        <v>0</v>
      </c>
      <c r="G12" s="1192"/>
      <c r="H12" s="1193" t="s">
        <v>348</v>
      </c>
      <c r="I12" s="1194">
        <v>5</v>
      </c>
      <c r="J12" s="1195" t="s">
        <v>238</v>
      </c>
      <c r="K12" s="1194">
        <v>21</v>
      </c>
      <c r="L12" s="1196" t="s">
        <v>260</v>
      </c>
      <c r="M12" s="1194">
        <v>80</v>
      </c>
      <c r="N12" s="1197" t="s">
        <v>261</v>
      </c>
      <c r="O12" s="1194">
        <v>96</v>
      </c>
      <c r="P12" s="1198" t="s">
        <v>235</v>
      </c>
      <c r="Q12" s="1174"/>
      <c r="R12" s="1190" t="s">
        <v>1463</v>
      </c>
    </row>
    <row r="13" spans="4:18" ht="16.5" customHeight="1" thickTop="1" thickBot="1">
      <c r="D13" s="1206"/>
      <c r="E13" s="1207"/>
      <c r="F13" s="1216">
        <v>1</v>
      </c>
      <c r="G13" s="1204">
        <v>2</v>
      </c>
      <c r="H13" s="1203">
        <v>3</v>
      </c>
      <c r="I13" s="524">
        <v>4</v>
      </c>
      <c r="J13" s="1202">
        <v>5</v>
      </c>
      <c r="K13" s="524">
        <v>6</v>
      </c>
      <c r="L13" s="1201">
        <v>7</v>
      </c>
      <c r="M13" s="524">
        <v>8</v>
      </c>
      <c r="N13" s="1200">
        <v>9</v>
      </c>
      <c r="O13" s="524">
        <v>10</v>
      </c>
      <c r="P13" s="1199">
        <v>11</v>
      </c>
      <c r="Q13" s="23">
        <v>12</v>
      </c>
      <c r="R13" s="1190">
        <v>1</v>
      </c>
    </row>
    <row r="14" spans="4:18" ht="21.45" thickTop="1" thickBot="1">
      <c r="D14" s="1191"/>
      <c r="E14" s="1208"/>
      <c r="F14" s="1210">
        <v>2</v>
      </c>
      <c r="G14" s="1217"/>
      <c r="H14" s="1129" t="str">
        <f>CONCATENATE(IF(AND(IF(H15&gt;=0,1,0),IF(H15&lt;5,1,0)),5,""),IF(AND(IF(H15&gt;=5,1,0),IF(H15&lt;21,1,0)),21,""),IF(AND(IF(H15&gt;=21,1,0),IF(H15&lt;80,1,0)),80,""),IF(AND(IF(H15&gt;=80,1,0),IF(H15&lt;96,1,0)),96,""),IF(AND(IF(H15&gt;=96,1,0),IF(H15&lt;=100,1,0)),100,""))</f>
        <v>21</v>
      </c>
      <c r="I14" s="1115"/>
      <c r="J14" s="1129" t="str">
        <f>CONCATENATE(IF(AND(IF(J15&gt;=0,1,0),IF(J15&lt;5,1,0)),5,""),IF(AND(IF(J15&gt;=5,1,0),IF(J15&lt;21,1,0)),21,""),IF(AND(IF(J15&gt;=21,1,0),IF(J15&lt;80,1,0)),80,""),IF(AND(IF(J15&gt;=80,1,0),IF(J15&lt;96,1,0)),96,""),IF(AND(IF(J15&gt;=96,1,0),IF(J15&lt;=100,1,0)),100,""))</f>
        <v>80</v>
      </c>
      <c r="K14" s="1115"/>
      <c r="L14" s="1129" t="str">
        <f>CONCATENATE(IF(AND(IF(L15&gt;=0,1,0),IF(L15&lt;5,1,0)),5,""),IF(AND(IF(L15&gt;=5,1,0),IF(L15&lt;21,1,0)),21,""),IF(AND(IF(L15&gt;=21,1,0),IF(L15&lt;80,1,0)),80,""),IF(AND(IF(L15&gt;=80,1,0),IF(L15&lt;96,1,0)),96,""),IF(AND(IF(L15&gt;=96,1,0),IF(L15&lt;=100,1,0)),100,""))</f>
        <v>96</v>
      </c>
      <c r="M14" s="1115"/>
      <c r="N14" s="1129" t="str">
        <f>CONCATENATE(IF(AND(IF(N15&gt;=0,1,0),IF(N15&lt;5,1,0)),5,""),IF(AND(IF(N15&gt;=5,1,0),IF(N15&lt;21,1,0)),21,""),IF(AND(IF(N15&gt;=21,1,0),IF(N15&lt;80,1,0)),80,""),IF(AND(IF(N15&gt;=80,1,0),IF(N15&lt;96,1,0)),96,""),IF(AND(IF(N15&gt;=96,1,0),IF(N15&lt;=100,1,0)),100,""))</f>
        <v>100</v>
      </c>
      <c r="O14" s="1115"/>
      <c r="P14" s="1129" t="str">
        <f>CONCATENATE(IF(AND(IF(P15&gt;=0,1,0),IF(P15&lt;5,1,0)),5,""),IF(AND(IF(P15&gt;=5,1,0),IF(P15&lt;21,1,0)),21,""),IF(AND(IF(P15&gt;=21,1,0),IF(P15&lt;80,1,0)),80,""),IF(AND(IF(P15&gt;=80,1,0),IF(P15&lt;96,1,0)),96,""),IF(AND(IF(P15&gt;=96,1,0),IF(P15&lt;=100,1,0)),100,""))</f>
        <v>100</v>
      </c>
      <c r="Q14" s="1072"/>
      <c r="R14" s="1190">
        <v>2</v>
      </c>
    </row>
    <row r="15" spans="4:18" ht="19.3" thickTop="1" thickBot="1">
      <c r="D15" s="1145" t="s">
        <v>1435</v>
      </c>
      <c r="E15" s="1046" t="s">
        <v>235</v>
      </c>
      <c r="F15" s="1211">
        <v>3</v>
      </c>
      <c r="G15" s="1126" t="str">
        <f>CONCATENATE(IF(AND(IF(H15&gt;=0,1,0),IF(H15&lt;5,1,0)),0,""),IF(AND(IF(H15&gt;=5,1,0),IF(H15&lt;21,1,0)),5,""),IF(AND(IF(H15&gt;=21,1,0),IF(H15&lt;80,1,0)),21,""),IF(AND(IF(H15&gt;=80,1,0),IF(H15&lt;96,1,0)),80,""),IF(AND(IF(H15&gt;=96,1,0),IF(H15&lt;100,1,0)),96,""))</f>
        <v>5</v>
      </c>
      <c r="H15" s="1083">
        <v>18</v>
      </c>
      <c r="I15" s="1099">
        <v>42.5</v>
      </c>
      <c r="J15" s="573">
        <v>67</v>
      </c>
      <c r="K15" s="1103">
        <v>77.5</v>
      </c>
      <c r="L15" s="685">
        <v>88</v>
      </c>
      <c r="M15" s="1105">
        <v>92.5</v>
      </c>
      <c r="N15" s="686">
        <v>97</v>
      </c>
      <c r="O15" s="1107">
        <v>97.5</v>
      </c>
      <c r="P15" s="687">
        <v>98</v>
      </c>
      <c r="Q15" s="1131" t="str">
        <f>CONCATENATE(IF(AND(IF(P15&gt;=0,1,0),IF(P15&lt;5,1,0)),5,""),IF(AND(IF(P15&gt;=5,1,0),IF(P15&lt;21,1,0)),21,""),IF(AND(IF(P15&gt;=21,1,0),IF(P15&lt;80,1,0)),80,""),IF(AND(IF(P15&gt;=80,1,0),IF(P15&lt;96,1,0)),96,""),IF(AND(IF(P15&gt;=96,1,0),IF(P15&lt;100,1,0)),100,""))</f>
        <v>100</v>
      </c>
      <c r="R15" s="1190">
        <v>3</v>
      </c>
    </row>
    <row r="16" spans="4:18" ht="16.75" thickTop="1" thickBot="1">
      <c r="D16" s="110"/>
      <c r="E16" s="11"/>
      <c r="F16" s="1210">
        <v>4</v>
      </c>
      <c r="G16" s="1127"/>
      <c r="H16" s="944">
        <f>AVERAGE(H15,H17)</f>
        <v>16.5</v>
      </c>
      <c r="I16" s="937"/>
      <c r="J16" s="944">
        <f>AVERAGE(J15,J17)</f>
        <v>59</v>
      </c>
      <c r="K16" s="934"/>
      <c r="L16" s="944">
        <f>AVERAGE(L15,L17)</f>
        <v>77.5</v>
      </c>
      <c r="M16" s="951"/>
      <c r="N16" s="944">
        <f>AVERAGE(N15,N17)</f>
        <v>92.5</v>
      </c>
      <c r="O16" s="953"/>
      <c r="P16" s="944">
        <f>AVERAGE(P15,P17)</f>
        <v>97.5</v>
      </c>
      <c r="Q16" s="1130"/>
      <c r="R16" s="1190">
        <v>4</v>
      </c>
    </row>
    <row r="17" spans="4:18" ht="16.75" thickTop="1" thickBot="1">
      <c r="D17" s="1144" t="s">
        <v>1434</v>
      </c>
      <c r="E17" s="1119" t="s">
        <v>261</v>
      </c>
      <c r="F17" s="1212">
        <v>5</v>
      </c>
      <c r="G17" s="1126" t="str">
        <f>CONCATENATE(IF(AND(IF(H17&gt;=0,1,0),IF(H17&lt;5,1,0)),0,""),IF(AND(IF(H17&gt;=5,1,0),IF(H17&lt;21,1,0)),5,""),IF(AND(IF(H17&gt;=21,1,0),IF(H17&lt;80,1,0)),21,""),IF(AND(IF(H17&gt;=80,1,0),IF(H17&lt;96,1,0)),80,""),IF(AND(IF(H17&gt;=96,1,0),IF(H17&lt;100,1,0)),96,""))</f>
        <v>5</v>
      </c>
      <c r="H17" s="688">
        <v>15</v>
      </c>
      <c r="I17" s="1101">
        <v>33</v>
      </c>
      <c r="J17" s="834">
        <v>51</v>
      </c>
      <c r="K17" s="1101">
        <v>59</v>
      </c>
      <c r="L17" s="834">
        <v>67</v>
      </c>
      <c r="M17" s="945">
        <v>77.5</v>
      </c>
      <c r="N17" s="690">
        <v>88</v>
      </c>
      <c r="O17" s="954">
        <v>92.5</v>
      </c>
      <c r="P17" s="691">
        <v>97</v>
      </c>
      <c r="Q17" s="1131" t="str">
        <f>CONCATENATE(IF(AND(IF(P17&gt;=0,1,0),IF(P17&lt;5,1,0)),5,""),IF(AND(IF(P17&gt;=5,1,0),IF(P17&lt;21,1,0)),21,""),IF(AND(IF(P17&gt;=21,1,0),IF(P17&lt;80,1,0)),80,""),IF(AND(IF(P17&gt;=80,1,0),IF(P17&lt;96,1,0)),96,""),IF(AND(IF(P17&gt;=96,1,0),IF(P17&lt;100,1,0)),100,""))</f>
        <v>100</v>
      </c>
      <c r="R17" s="1190">
        <v>5</v>
      </c>
    </row>
    <row r="18" spans="4:18" ht="16.75" thickTop="1" thickBot="1">
      <c r="D18" s="110"/>
      <c r="E18" s="11"/>
      <c r="F18" s="1210">
        <v>6</v>
      </c>
      <c r="G18" s="1127"/>
      <c r="H18" s="944">
        <f>AVERAGE(H17,H19)</f>
        <v>14</v>
      </c>
      <c r="I18" s="945"/>
      <c r="J18" s="944">
        <f>AVERAGE(J17,J19)</f>
        <v>33</v>
      </c>
      <c r="K18" s="935"/>
      <c r="L18" s="944">
        <f>AVERAGE(L17,L19)</f>
        <v>59</v>
      </c>
      <c r="M18" s="947"/>
      <c r="N18" s="944">
        <f>AVERAGE(N17,N19)</f>
        <v>77.5</v>
      </c>
      <c r="O18" s="954"/>
      <c r="P18" s="944">
        <f>AVERAGE(P17,P19)</f>
        <v>92.5</v>
      </c>
      <c r="Q18" s="1130"/>
      <c r="R18" s="1190">
        <v>6</v>
      </c>
    </row>
    <row r="19" spans="4:18" ht="16.75" thickTop="1" thickBot="1">
      <c r="D19" s="1143" t="s">
        <v>1433</v>
      </c>
      <c r="E19" s="834" t="s">
        <v>260</v>
      </c>
      <c r="F19" s="1213">
        <v>7</v>
      </c>
      <c r="G19" s="1126" t="str">
        <f>CONCATENATE(IF(AND(IF(H19&gt;=0,1,0),IF(H19&lt;5,1,0)),0,""),IF(AND(IF(H19&gt;=5,1,0),IF(H19&lt;21,1,0)),5,""),IF(AND(IF(H19&gt;=21,1,0),IF(H19&lt;80,1,0)),21,""),IF(AND(IF(H19&gt;=80,1,0),IF(H19&lt;96,1,0)),80,""),IF(AND(IF(H19&gt;=96,1,0),IF(H19&lt;100,1,0)),96,""))</f>
        <v>5</v>
      </c>
      <c r="H19" s="688">
        <v>13</v>
      </c>
      <c r="I19" s="945">
        <v>14</v>
      </c>
      <c r="J19" s="692">
        <v>15</v>
      </c>
      <c r="K19" s="954">
        <v>33</v>
      </c>
      <c r="L19" s="834">
        <v>51</v>
      </c>
      <c r="M19" s="945">
        <v>59</v>
      </c>
      <c r="N19" s="689">
        <v>67</v>
      </c>
      <c r="O19" s="954">
        <v>77.5</v>
      </c>
      <c r="P19" s="693">
        <v>88</v>
      </c>
      <c r="Q19" s="1131" t="str">
        <f>CONCATENATE(IF(AND(IF(P19&gt;=0,1,0),IF(P19&lt;5,1,0)),5,""),IF(AND(IF(P19&gt;=5,1,0),IF(P19&lt;21,1,0)),21,""),IF(AND(IF(P19&gt;=21,1,0),IF(P19&lt;80,1,0)),80,""),IF(AND(IF(P19&gt;=80,1,0),IF(P19&lt;96,1,0)),96,""),IF(AND(IF(P19&gt;=96,1,0),IF(P19&lt;100,1,0)),100,""))</f>
        <v>96</v>
      </c>
      <c r="R19" s="1190">
        <v>7</v>
      </c>
    </row>
    <row r="20" spans="4:18" ht="16.75" thickTop="1" thickBot="1">
      <c r="D20" s="1120"/>
      <c r="E20" s="11"/>
      <c r="F20" s="1210">
        <v>8</v>
      </c>
      <c r="G20" s="1127"/>
      <c r="H20" s="944">
        <f>AVERAGE(H19,H21)</f>
        <v>7.5</v>
      </c>
      <c r="I20" s="945"/>
      <c r="J20" s="944">
        <f>AVERAGE(J19,J21)</f>
        <v>14</v>
      </c>
      <c r="K20" s="935"/>
      <c r="L20" s="944">
        <f>AVERAGE(L19,L21)</f>
        <v>33</v>
      </c>
      <c r="M20" s="947"/>
      <c r="N20" s="944">
        <f>AVERAGE(N19,N21)</f>
        <v>59</v>
      </c>
      <c r="O20" s="954"/>
      <c r="P20" s="944">
        <f>AVERAGE(P19,P21)</f>
        <v>77.5</v>
      </c>
      <c r="Q20" s="1130"/>
      <c r="R20" s="1190">
        <v>8</v>
      </c>
    </row>
    <row r="21" spans="4:18" ht="16.75" thickTop="1" thickBot="1">
      <c r="D21" s="1117" t="s">
        <v>1432</v>
      </c>
      <c r="E21" s="1209" t="s">
        <v>238</v>
      </c>
      <c r="F21" s="1214">
        <v>9</v>
      </c>
      <c r="G21" s="1126" t="str">
        <f>CONCATENATE(IF(AND(IF(H21&gt;=0,1,0),IF(H21&lt;5,1,0)),0,""),IF(AND(IF(H21&gt;=5,1,0),IF(H21&lt;21,1,0)),5,""),IF(AND(IF(H21&gt;=21,1,0),IF(H21&lt;80,1,0)),21,""),IF(AND(IF(H21&gt;=80,1,0),IF(H21&lt;96,1,0)),80,""),IF(AND(IF(H21&gt;=96,1,0),IF(H21&lt;100,1,0)),96,""))</f>
        <v>0</v>
      </c>
      <c r="H21" s="694">
        <v>2</v>
      </c>
      <c r="I21" s="945">
        <v>7.5</v>
      </c>
      <c r="J21" s="692">
        <v>13</v>
      </c>
      <c r="K21" s="947">
        <v>14</v>
      </c>
      <c r="L21" s="692">
        <v>15</v>
      </c>
      <c r="M21" s="947">
        <v>33</v>
      </c>
      <c r="N21" s="689">
        <v>51</v>
      </c>
      <c r="O21" s="954">
        <v>59</v>
      </c>
      <c r="P21" s="695">
        <v>67</v>
      </c>
      <c r="Q21" s="1131" t="str">
        <f>CONCATENATE(IF(AND(IF(P21&gt;=0,1,0),IF(P21&lt;5,1,0)),5,""),IF(AND(IF(P21&gt;=5,1,0),IF(P21&lt;21,1,0)),21,""),IF(AND(IF(P21&gt;=21,1,0),IF(P21&lt;80,1,0)),80,""),IF(AND(IF(P21&gt;=80,1,0),IF(P21&lt;96,1,0)),96,""),IF(AND(IF(P21&gt;=96,1,0),IF(P21&lt;100,1,0)),100,""))</f>
        <v>80</v>
      </c>
      <c r="R21" s="1190">
        <v>9</v>
      </c>
    </row>
    <row r="22" spans="4:18" ht="16.75" thickTop="1" thickBot="1">
      <c r="D22" s="1118"/>
      <c r="E22" s="11"/>
      <c r="F22" s="1210">
        <v>10</v>
      </c>
      <c r="G22" s="1127"/>
      <c r="H22" s="944">
        <f>AVERAGE(H21,H23)</f>
        <v>1.5</v>
      </c>
      <c r="I22" s="946"/>
      <c r="J22" s="944">
        <f>AVERAGE(J21,J23)</f>
        <v>7.5</v>
      </c>
      <c r="K22" s="936"/>
      <c r="L22" s="944">
        <f>AVERAGE(L21,L23)</f>
        <v>14</v>
      </c>
      <c r="M22" s="952"/>
      <c r="N22" s="944">
        <f>AVERAGE(N21,N23)</f>
        <v>33</v>
      </c>
      <c r="O22" s="955"/>
      <c r="P22" s="944">
        <f>AVERAGE(P21,P23)</f>
        <v>42.5</v>
      </c>
      <c r="Q22" s="1130"/>
      <c r="R22" s="1190">
        <v>10</v>
      </c>
    </row>
    <row r="23" spans="4:18" ht="16.75" thickTop="1" thickBot="1">
      <c r="D23" s="1142" t="s">
        <v>1436</v>
      </c>
      <c r="E23" s="1045" t="s">
        <v>348</v>
      </c>
      <c r="F23" s="1215">
        <v>11</v>
      </c>
      <c r="G23" s="1126" t="str">
        <f>CONCATENATE(IF(AND(IF(H23&gt;=0,1,0),IF(H23&lt;5,1,0)),0,""),IF(AND(IF(H23&gt;=5,1,0),IF(H23&lt;21,1,0)),5,""),IF(AND(IF(H23&gt;=21,1,0),IF(H23&lt;80,1,0)),21,""),IF(AND(IF(H23&gt;=80,1,0),IF(H23&lt;96,1,0)),80,""),IF(AND(IF(H23&gt;=96,1,0),IF(H23&lt;100,1,0)),96,""))</f>
        <v>0</v>
      </c>
      <c r="H23" s="696">
        <v>1</v>
      </c>
      <c r="I23" s="1102">
        <v>1.5</v>
      </c>
      <c r="J23" s="697">
        <v>2</v>
      </c>
      <c r="K23" s="1104">
        <v>7.5</v>
      </c>
      <c r="L23" s="698">
        <v>13</v>
      </c>
      <c r="M23" s="1106">
        <v>14</v>
      </c>
      <c r="N23" s="981">
        <v>15</v>
      </c>
      <c r="O23" s="1108">
        <v>16.5</v>
      </c>
      <c r="P23" s="699">
        <v>18</v>
      </c>
      <c r="Q23" s="1131" t="str">
        <f>CONCATENATE(IF(AND(IF(P23&gt;=0,1,0),IF(P23&lt;5,1,0)),5,""),IF(AND(IF(P23&gt;=5,1,0),IF(P23&lt;21,1,0)),21,""),IF(AND(IF(P23&gt;=21,1,0),IF(P23&lt;80,1,0)),80,""),IF(AND(IF(P23&gt;=80,1,0),IF(P23&lt;96,1,0)),96,""),IF(AND(IF(P23&gt;=96,1,0),IF(P23&lt;100,1,0)),100,""))</f>
        <v>21</v>
      </c>
      <c r="R23" s="1190">
        <v>11</v>
      </c>
    </row>
    <row r="24" spans="4:18" ht="21.45" thickTop="1" thickBot="1">
      <c r="E24" s="11"/>
      <c r="F24" s="1210">
        <v>12</v>
      </c>
      <c r="G24" s="1067"/>
      <c r="H24" s="1128" t="str">
        <f>CONCATENATE(IF(AND(IF(H23&gt;=0,1,0),IF(H23&lt;5,1,0)),0,""),IF(AND(IF(H23&gt;=5,1,0),IF(H23&lt;21,1,0)),5,""),IF(AND(IF(H23&gt;=21,1,0),IF(H23&lt;80,1,0)),21,""),IF(AND(IF(H23&gt;=80,1,0),IF(H23&lt;96,1,0)),80,""),IF(AND(IF(H23&gt;=96,1,0),IF(H23&lt;100,1,0)),96,""))</f>
        <v>0</v>
      </c>
      <c r="I24" s="1116"/>
      <c r="J24" s="1128" t="str">
        <f>CONCATENATE(IF(AND(IF(J23&gt;=0,1,0),IF(J23&lt;5,1,0)),0,""),IF(AND(IF(J23&gt;=5,1,0),IF(J23&lt;21,1,0)),5,""),IF(AND(IF(J23&gt;=21,1,0),IF(J23&lt;80,1,0)),21,""),IF(AND(IF(J23&gt;=80,1,0),IF(J23&lt;96,1,0)),80,""),IF(AND(IF(J23&gt;=96,1,0),IF(J23&lt;100,1,0)),96,""))</f>
        <v>0</v>
      </c>
      <c r="K24" s="1116"/>
      <c r="L24" s="1128" t="str">
        <f>CONCATENATE(IF(AND(IF(L23&gt;=0,1,0),IF(L23&lt;5,1,0)),0,""),IF(AND(IF(L23&gt;=5,1,0),IF(L23&lt;21,1,0)),5,""),IF(AND(IF(L23&gt;=21,1,0),IF(L23&lt;80,1,0)),21,""),IF(AND(IF(L23&gt;=80,1,0),IF(L23&lt;96,1,0)),80,""),IF(AND(IF(L23&gt;=96,1,0),IF(L23&lt;100,1,0)),96,""))</f>
        <v>5</v>
      </c>
      <c r="M24" s="1116"/>
      <c r="N24" s="1128" t="str">
        <f>CONCATENATE(IF(AND(IF(N23&gt;=0,1,0),IF(N23&lt;5,1,0)),0,""),IF(AND(IF(N23&gt;=5,1,0),IF(N23&lt;21,1,0)),5,""),IF(AND(IF(N23&gt;=21,1,0),IF(N23&lt;80,1,0)),21,""),IF(AND(IF(N23&gt;=80,1,0),IF(N23&lt;96,1,0)),80,""),IF(AND(IF(N23&gt;=96,1,0),IF(N23&lt;100,1,0)),96,""))</f>
        <v>5</v>
      </c>
      <c r="O24" s="1116"/>
      <c r="P24" s="1128" t="str">
        <f>CONCATENATE(IF(AND(IF(P23&gt;=0,1,0),IF(P23&lt;5,1,0)),0,""),IF(AND(IF(P23&gt;=5,1,0),IF(P23&lt;21,1,0)),5,""),IF(AND(IF(P23&gt;=21,1,0),IF(P23&lt;80,1,0)),21,""),IF(AND(IF(P23&gt;=80,1,0),IF(P23&lt;96,1,0)),80,""),IF(AND(IF(P23&gt;=96,1,0),IF(P23&lt;100,1,0)),96,""))</f>
        <v>5</v>
      </c>
      <c r="Q24" s="1071"/>
      <c r="R24" s="1190" t="s">
        <v>1464</v>
      </c>
    </row>
    <row r="25" spans="4:18" ht="15.45" thickTop="1" thickBot="1">
      <c r="E25" s="1190" t="s">
        <v>1462</v>
      </c>
      <c r="F25" s="1190">
        <v>1</v>
      </c>
      <c r="G25" s="1190">
        <v>2</v>
      </c>
      <c r="H25" s="1190">
        <v>3</v>
      </c>
      <c r="I25" s="1190">
        <v>4</v>
      </c>
      <c r="J25" s="1190">
        <v>5</v>
      </c>
      <c r="K25" s="1190">
        <v>6</v>
      </c>
      <c r="L25" s="1190">
        <v>7</v>
      </c>
      <c r="M25" s="1190">
        <v>8</v>
      </c>
      <c r="N25" s="1190">
        <v>9</v>
      </c>
      <c r="O25" s="1190">
        <v>10</v>
      </c>
      <c r="P25" s="1190">
        <v>11</v>
      </c>
      <c r="Q25" s="1190" t="s">
        <v>1461</v>
      </c>
      <c r="R25" s="11"/>
    </row>
    <row r="26" spans="4:18" ht="15" thickTop="1"/>
    <row r="28" spans="4:18" ht="15" thickBot="1"/>
    <row r="29" spans="4:18" ht="21" thickTop="1">
      <c r="D29" s="2395" t="s">
        <v>1489</v>
      </c>
      <c r="E29" s="2396"/>
      <c r="F29" s="2396"/>
      <c r="G29" s="2396"/>
      <c r="H29" s="2396"/>
      <c r="I29" s="2396"/>
      <c r="J29" s="2396"/>
      <c r="K29" s="2396"/>
      <c r="L29" s="2396"/>
      <c r="M29" s="2396"/>
      <c r="N29" s="2396"/>
      <c r="O29" s="2396"/>
      <c r="P29" s="2396"/>
      <c r="Q29" s="2397"/>
    </row>
    <row r="30" spans="4:18">
      <c r="D30" s="1248"/>
      <c r="E30" s="1249"/>
      <c r="F30" s="1249"/>
      <c r="G30" s="1249"/>
      <c r="H30" s="1249"/>
      <c r="I30" s="1249"/>
      <c r="J30" s="1249"/>
      <c r="K30" s="1249"/>
      <c r="L30" s="1249"/>
      <c r="M30" s="1249"/>
      <c r="N30" s="1249"/>
      <c r="O30" s="1249"/>
      <c r="P30" s="1249"/>
      <c r="Q30" s="1250"/>
    </row>
    <row r="31" spans="4:18" ht="15" thickBot="1">
      <c r="D31" s="75"/>
      <c r="Q31" s="88"/>
    </row>
    <row r="32" spans="4:18" ht="16.75" thickTop="1" thickBot="1">
      <c r="D32" s="75"/>
      <c r="E32" s="1189" t="s">
        <v>1460</v>
      </c>
      <c r="F32" s="1237">
        <f>VLOOKUP($J$5,$E$12:$Q$24,2,FALSE)</f>
        <v>7</v>
      </c>
      <c r="G32" s="1232" t="str">
        <f>VLOOKUP($J$5,$E$12:$Q$24,1,FALSE)</f>
        <v>Moderate</v>
      </c>
      <c r="H32" s="529" t="s">
        <v>1484</v>
      </c>
      <c r="I32" s="1219" t="s">
        <v>1467</v>
      </c>
      <c r="L32" s="2365" t="s">
        <v>1487</v>
      </c>
      <c r="M32" s="2366"/>
      <c r="N32" s="2367"/>
      <c r="O32" s="1251" t="str">
        <f>J5</f>
        <v>Moderate</v>
      </c>
      <c r="Q32" s="88"/>
    </row>
    <row r="33" spans="4:17" ht="16.75" thickTop="1" thickBot="1">
      <c r="D33" s="75"/>
      <c r="E33" s="1189" t="s">
        <v>1459</v>
      </c>
      <c r="F33" s="1188">
        <f>HLOOKUP($O$5,$E$12:$Q$24,2,FALSE)</f>
        <v>5</v>
      </c>
      <c r="G33" s="1218" t="str">
        <f>HLOOKUP($O$5,$E$12:$Q$24,1,FALSE)</f>
        <v>Low</v>
      </c>
      <c r="H33" s="529" t="s">
        <v>1485</v>
      </c>
      <c r="I33" s="1220" t="s">
        <v>1468</v>
      </c>
      <c r="L33" s="962" t="s">
        <v>1437</v>
      </c>
      <c r="M33" s="1245" t="str">
        <f>$F$35</f>
        <v>21</v>
      </c>
      <c r="N33" s="968" t="s">
        <v>1472</v>
      </c>
      <c r="O33" s="1274">
        <f>$H$41</f>
        <v>14</v>
      </c>
      <c r="Q33" s="88"/>
    </row>
    <row r="34" spans="4:17" ht="16.75" thickTop="1" thickBot="1">
      <c r="D34" s="75"/>
      <c r="F34" s="1238"/>
      <c r="L34" s="974" t="s">
        <v>1438</v>
      </c>
      <c r="M34" s="1246">
        <f>$H$5</f>
        <v>51</v>
      </c>
      <c r="N34" s="972" t="s">
        <v>1486</v>
      </c>
      <c r="O34" s="1252">
        <f>O33+(M36/100)*(O35-O33)</f>
        <v>23.66101694915254</v>
      </c>
      <c r="Q34" s="88"/>
    </row>
    <row r="35" spans="4:17" ht="16.75" thickTop="1" thickBot="1">
      <c r="D35" s="75"/>
      <c r="E35" s="529" t="s">
        <v>1479</v>
      </c>
      <c r="F35" s="1241" t="str">
        <f>CONCATENATE( IF($J$5="Very High", 96, ""), IF($J$5="High", 80, ""), IF($J$5="Moderate", 21, ""), IF($J$5="Low", 5, ""), IF($J$5="Very Low", 0,""))</f>
        <v>21</v>
      </c>
      <c r="G35" s="1239" t="str">
        <f>VLOOKUP($J$5,$E$12:$Q$24,1,FALSE)</f>
        <v>Moderate</v>
      </c>
      <c r="L35" s="964" t="s">
        <v>1439</v>
      </c>
      <c r="M35" s="1247" t="str">
        <f>$F$36</f>
        <v>80</v>
      </c>
      <c r="N35" s="970" t="s">
        <v>1473</v>
      </c>
      <c r="O35" s="1271">
        <f>$J$41</f>
        <v>33</v>
      </c>
      <c r="Q35" s="88"/>
    </row>
    <row r="36" spans="4:17" ht="16.75" thickTop="1" thickBot="1">
      <c r="D36" s="75"/>
      <c r="E36" s="529" t="s">
        <v>1480</v>
      </c>
      <c r="F36" s="1241" t="str">
        <f>CONCATENATE( IF($J$5="Very High", 100, ""), IF($J$5="High", 96, ""), IF($J$5="Moderate", 80, ""), IF($J$5="Low", 21, ""), IF($J$5="Very Low", 5,""))</f>
        <v>80</v>
      </c>
      <c r="I36" s="833" t="s">
        <v>1483</v>
      </c>
      <c r="L36" s="966" t="s">
        <v>1440</v>
      </c>
      <c r="M36" s="967">
        <f>100*(M34-M33)/(M35-M33)</f>
        <v>50.847457627118644</v>
      </c>
      <c r="O36" s="98"/>
      <c r="P36" s="1253" t="s">
        <v>293</v>
      </c>
      <c r="Q36" s="88"/>
    </row>
    <row r="37" spans="4:17" ht="16.75" thickTop="1" thickBot="1">
      <c r="D37" s="75"/>
      <c r="F37" s="1238"/>
      <c r="I37" s="833">
        <f>$M$5</f>
        <v>13</v>
      </c>
      <c r="O37" s="23"/>
      <c r="P37" s="1200" t="str">
        <f>CONCATENATE(IF($P$38 &lt; 5, "Very Low", ""), IF( AND( IF($P$38 &gt;= 5, 1, 0),  IF($P$38 &lt; 21, 1, 0) ), "Low", ""), IF( AND( IF($P$38 &gt;= 21, 1, 0),  IF($P$38 &lt; 80, 1, 0) ), "Moderate", ""), IF( AND( IF($P$38 &gt;= 80, 1, 0),  IF($P$38 &lt; 96, 1, 0) ), "High", ""), IF( AND( IF($P$38 &gt;= 96, 1, 0),  IF($P$38 &lt;= 100, 1, 0) ), "Very High", "") )</f>
        <v>Moderate</v>
      </c>
      <c r="Q37" s="88"/>
    </row>
    <row r="38" spans="4:17" ht="16.75" thickTop="1" thickBot="1">
      <c r="D38" s="75"/>
      <c r="E38" s="529" t="s">
        <v>1481</v>
      </c>
      <c r="F38" s="1241" t="str">
        <f>CONCATENATE( IF($O$5="Very High", 96, ""), IF($O$5="High", 80, ""), IF($O$5="Moderate", 21, ""), IF($O$5="Low", 5, ""), IF($O$5="Very Low", 0,""))</f>
        <v>5</v>
      </c>
      <c r="G38" s="1240" t="str">
        <f>HLOOKUP($O$5,$E$12:$Q$24,1,FALSE)</f>
        <v>Low</v>
      </c>
      <c r="I38" s="833" t="str">
        <f>$G$33</f>
        <v>Low</v>
      </c>
      <c r="J38" s="92"/>
      <c r="L38" s="2256" t="s">
        <v>1488</v>
      </c>
      <c r="M38" s="2257"/>
      <c r="N38" s="2258"/>
      <c r="O38" s="1251" t="str">
        <f>$O$5</f>
        <v>Low</v>
      </c>
      <c r="P38" s="1200">
        <f>ROUND(SQRT(SUMSQ($O$34,$O$40)/2), 1)</f>
        <v>23.6</v>
      </c>
      <c r="Q38" s="88"/>
    </row>
    <row r="39" spans="4:17" ht="16.75" thickTop="1" thickBot="1">
      <c r="D39" s="75"/>
      <c r="E39" s="529" t="s">
        <v>1482</v>
      </c>
      <c r="F39" s="1241" t="str">
        <f>CONCATENATE( IF($O$5="Very High", 100, ""), IF($O$5="High", 96, ""), IF($O$5="Moderate", 80, ""), IF($O$5="Low", 21, ""), IF($O$5="Very Low", 5,""))</f>
        <v>21</v>
      </c>
      <c r="H39" s="1009"/>
      <c r="I39" s="1227" t="s">
        <v>1477</v>
      </c>
      <c r="J39" s="97"/>
      <c r="L39" s="962" t="s">
        <v>1320</v>
      </c>
      <c r="M39" s="1245" t="str">
        <f>$F$38</f>
        <v>5</v>
      </c>
      <c r="N39" s="968" t="s">
        <v>1474</v>
      </c>
      <c r="O39" s="1272">
        <f>$I$42</f>
        <v>14</v>
      </c>
      <c r="P39" s="1254">
        <f>SQRT(SUMSQ($O$34,$O$40)/2)</f>
        <v>23.580645910026337</v>
      </c>
      <c r="Q39" s="88"/>
    </row>
    <row r="40" spans="4:17" ht="15.45" thickTop="1" thickBot="1">
      <c r="D40" s="75"/>
      <c r="H40" s="1224" t="s">
        <v>1469</v>
      </c>
      <c r="I40" s="735">
        <f>HLOOKUP($O$5,$E$12:$Q$24, VLOOKUP($J$5,$E$12:$Q$24,2,FALSE),FALSE)</f>
        <v>33</v>
      </c>
      <c r="J40" s="1225" t="s">
        <v>1470</v>
      </c>
      <c r="L40" s="974" t="s">
        <v>1321</v>
      </c>
      <c r="M40" s="1246">
        <f>$M$5</f>
        <v>13</v>
      </c>
      <c r="N40" s="972" t="s">
        <v>1476</v>
      </c>
      <c r="O40" s="1252">
        <f>O39+(M42/100)*(O41-O39)</f>
        <v>23.5</v>
      </c>
      <c r="Q40" s="88"/>
    </row>
    <row r="41" spans="4:17" ht="15.45" thickTop="1" thickBot="1">
      <c r="D41" s="75"/>
      <c r="E41" s="1242" t="s">
        <v>1478</v>
      </c>
      <c r="F41" s="1243">
        <f>$H$5</f>
        <v>51</v>
      </c>
      <c r="G41" s="1244" t="str">
        <f>$J$5</f>
        <v>Moderate</v>
      </c>
      <c r="H41" s="1229">
        <f>VLOOKUP($J$5,$E$12:$Q$24, HLOOKUP($O$5,$E$12:$Q$24,2,FALSE),FALSE)</f>
        <v>14</v>
      </c>
      <c r="I41" s="834">
        <f>VLOOKUP($J$5,$E$12:$Q$24, HLOOKUP($O$5,$E$12:$Q$24,2,FALSE)+1,FALSE)</f>
        <v>15</v>
      </c>
      <c r="J41" s="1226">
        <f>VLOOKUP($J$5,$E$12:$Q$24, HLOOKUP($O$5,$E$12:$Q$24,2,FALSE)+2,FALSE)</f>
        <v>33</v>
      </c>
      <c r="L41" s="964" t="s">
        <v>1322</v>
      </c>
      <c r="M41" s="1247" t="str">
        <f>$F$39</f>
        <v>21</v>
      </c>
      <c r="N41" s="970" t="s">
        <v>1475</v>
      </c>
      <c r="O41" s="1273">
        <f>$I$40</f>
        <v>33</v>
      </c>
      <c r="Q41" s="88"/>
    </row>
    <row r="42" spans="4:17" ht="15.45" thickTop="1" thickBot="1">
      <c r="D42" s="75"/>
      <c r="G42" s="6"/>
      <c r="H42" s="1011"/>
      <c r="I42" s="735">
        <f>HLOOKUP($O$5,$E$12:$Q$24, VLOOKUP($J$5,$E$12:$Q$24,2,FALSE)+2,FALSE)</f>
        <v>14</v>
      </c>
      <c r="J42" s="88"/>
      <c r="L42" s="966" t="s">
        <v>1441</v>
      </c>
      <c r="M42" s="967">
        <f>100*(M40-M39)/(M41-M39)</f>
        <v>50</v>
      </c>
      <c r="Q42" s="88"/>
    </row>
    <row r="43" spans="4:17" ht="15.45" thickTop="1" thickBot="1">
      <c r="D43" s="75"/>
      <c r="H43" s="1014"/>
      <c r="I43" s="1228" t="s">
        <v>1471</v>
      </c>
      <c r="J43" s="807"/>
      <c r="Q43" s="88"/>
    </row>
    <row r="44" spans="4:17" ht="15" thickTop="1">
      <c r="D44" s="75"/>
      <c r="Q44" s="88"/>
    </row>
    <row r="45" spans="4:17" ht="15" thickBot="1">
      <c r="D45" s="92"/>
      <c r="E45" s="99"/>
      <c r="F45" s="99"/>
      <c r="G45" s="99"/>
      <c r="H45" s="99"/>
      <c r="I45" s="99"/>
      <c r="J45" s="99"/>
      <c r="K45" s="99"/>
      <c r="L45" s="99"/>
      <c r="M45" s="99"/>
      <c r="N45" s="99"/>
      <c r="O45" s="99"/>
      <c r="P45" s="99"/>
      <c r="Q45" s="807"/>
    </row>
    <row r="46" spans="4:17" ht="15" thickTop="1"/>
    <row r="68" spans="4:17" ht="15" thickBot="1"/>
    <row r="69" spans="4:17" ht="15.45" thickTop="1" thickBot="1">
      <c r="F69" s="254"/>
      <c r="G69" s="96"/>
      <c r="H69" s="96"/>
      <c r="I69" s="96"/>
      <c r="J69" s="96"/>
      <c r="K69" s="96"/>
      <c r="L69" s="96"/>
      <c r="M69" s="96"/>
      <c r="N69" s="96"/>
      <c r="O69" s="96"/>
      <c r="P69" s="96"/>
      <c r="Q69" s="97"/>
    </row>
    <row r="70" spans="4:17" ht="16.75" thickTop="1" thickBot="1">
      <c r="F70" s="75"/>
      <c r="J70" s="2368" t="s">
        <v>1443</v>
      </c>
      <c r="K70" s="2369"/>
      <c r="L70" s="2369"/>
      <c r="M70" s="2369"/>
      <c r="N70" s="2370"/>
      <c r="Q70" s="88"/>
    </row>
    <row r="71" spans="4:17" ht="16.75" thickTop="1" thickBot="1">
      <c r="F71" s="75"/>
      <c r="G71" s="2371" t="s">
        <v>1442</v>
      </c>
      <c r="H71" s="2372"/>
      <c r="I71" s="2373"/>
      <c r="J71" s="1146" t="s">
        <v>1436</v>
      </c>
      <c r="K71" s="1147" t="s">
        <v>1432</v>
      </c>
      <c r="L71" s="1148" t="s">
        <v>1433</v>
      </c>
      <c r="M71" s="1149" t="s">
        <v>1434</v>
      </c>
      <c r="N71" s="1150" t="s">
        <v>1435</v>
      </c>
      <c r="Q71" s="88"/>
    </row>
    <row r="72" spans="4:17" ht="16.5" customHeight="1" thickTop="1" thickBot="1">
      <c r="F72" s="75"/>
      <c r="H72" s="1259" t="s">
        <v>1450</v>
      </c>
      <c r="I72" s="1269" t="s">
        <v>1605</v>
      </c>
      <c r="J72" s="1152" t="s">
        <v>348</v>
      </c>
      <c r="K72" s="1151" t="s">
        <v>238</v>
      </c>
      <c r="L72" s="1153" t="s">
        <v>260</v>
      </c>
      <c r="M72" s="1154" t="s">
        <v>261</v>
      </c>
      <c r="N72" s="1059" t="s">
        <v>235</v>
      </c>
      <c r="O72" s="1281" t="s">
        <v>1586</v>
      </c>
      <c r="Q72" s="88"/>
    </row>
    <row r="73" spans="4:17" ht="16.5" customHeight="1" thickTop="1" thickBot="1">
      <c r="F73" s="75"/>
      <c r="G73" s="1141"/>
      <c r="H73" s="1171" t="s">
        <v>1604</v>
      </c>
      <c r="I73" s="1172">
        <v>1</v>
      </c>
      <c r="J73" s="1155">
        <v>2</v>
      </c>
      <c r="K73" s="1166">
        <v>3</v>
      </c>
      <c r="L73" s="1155">
        <v>4</v>
      </c>
      <c r="M73" s="1155">
        <v>5</v>
      </c>
      <c r="N73" s="1155">
        <v>6</v>
      </c>
      <c r="O73" s="1159">
        <v>2</v>
      </c>
      <c r="Q73" s="88"/>
    </row>
    <row r="74" spans="4:17" ht="15.45" thickTop="1" thickBot="1">
      <c r="F74" s="75"/>
      <c r="G74" s="1145" t="s">
        <v>1435</v>
      </c>
      <c r="H74" s="1121" t="s">
        <v>235</v>
      </c>
      <c r="I74" s="1157">
        <v>2</v>
      </c>
      <c r="J74" s="1332" t="s">
        <v>238</v>
      </c>
      <c r="K74" s="684" t="s">
        <v>260</v>
      </c>
      <c r="L74" s="685" t="s">
        <v>261</v>
      </c>
      <c r="M74" s="686" t="s">
        <v>235</v>
      </c>
      <c r="N74" s="687" t="s">
        <v>1602</v>
      </c>
      <c r="O74" s="1281">
        <v>3</v>
      </c>
      <c r="Q74" s="88"/>
    </row>
    <row r="75" spans="4:17" ht="15.45" thickTop="1" thickBot="1">
      <c r="F75" s="75"/>
      <c r="G75" s="1144" t="s">
        <v>1434</v>
      </c>
      <c r="H75" s="1122" t="s">
        <v>261</v>
      </c>
      <c r="I75" s="1165">
        <v>3</v>
      </c>
      <c r="J75" s="1333" t="s">
        <v>238</v>
      </c>
      <c r="K75" s="689" t="s">
        <v>260</v>
      </c>
      <c r="L75" s="689" t="s">
        <v>260</v>
      </c>
      <c r="M75" s="690" t="s">
        <v>1601</v>
      </c>
      <c r="N75" s="691" t="s">
        <v>235</v>
      </c>
      <c r="O75" s="1281">
        <v>4</v>
      </c>
      <c r="Q75" s="88"/>
    </row>
    <row r="76" spans="4:17" ht="15.45" thickTop="1" thickBot="1">
      <c r="D76" s="786"/>
      <c r="F76" s="75"/>
      <c r="G76" s="1143" t="s">
        <v>1433</v>
      </c>
      <c r="H76" s="1123" t="s">
        <v>260</v>
      </c>
      <c r="I76" s="1156">
        <v>4</v>
      </c>
      <c r="J76" s="1333" t="s">
        <v>238</v>
      </c>
      <c r="K76" s="762" t="s">
        <v>238</v>
      </c>
      <c r="L76" s="689" t="s">
        <v>1599</v>
      </c>
      <c r="M76" s="689" t="s">
        <v>260</v>
      </c>
      <c r="N76" s="693" t="s">
        <v>261</v>
      </c>
      <c r="O76" s="1281">
        <v>5</v>
      </c>
      <c r="Q76" s="88"/>
    </row>
    <row r="77" spans="4:17" ht="15.45" thickTop="1" thickBot="1">
      <c r="D77" s="786"/>
      <c r="F77" s="75"/>
      <c r="G77" s="1117" t="s">
        <v>1432</v>
      </c>
      <c r="H77" s="1124" t="s">
        <v>238</v>
      </c>
      <c r="I77" s="1156">
        <v>5</v>
      </c>
      <c r="J77" s="694" t="s">
        <v>348</v>
      </c>
      <c r="K77" s="762" t="s">
        <v>1598</v>
      </c>
      <c r="L77" s="762" t="s">
        <v>238</v>
      </c>
      <c r="M77" s="689" t="s">
        <v>260</v>
      </c>
      <c r="N77" s="695" t="s">
        <v>260</v>
      </c>
      <c r="O77" s="1281">
        <v>6</v>
      </c>
      <c r="Q77" s="88"/>
    </row>
    <row r="78" spans="4:17" ht="15.45" thickTop="1" thickBot="1">
      <c r="D78" s="786"/>
      <c r="F78" s="75"/>
      <c r="G78" s="1142" t="s">
        <v>1436</v>
      </c>
      <c r="H78" s="1125" t="s">
        <v>348</v>
      </c>
      <c r="I78" s="892">
        <v>6</v>
      </c>
      <c r="J78" s="696" t="s">
        <v>1600</v>
      </c>
      <c r="K78" s="697" t="s">
        <v>348</v>
      </c>
      <c r="L78" s="1334" t="s">
        <v>238</v>
      </c>
      <c r="M78" s="1334" t="s">
        <v>238</v>
      </c>
      <c r="N78" s="1335" t="s">
        <v>235</v>
      </c>
      <c r="O78" s="1281" t="s">
        <v>1587</v>
      </c>
      <c r="Q78" s="88"/>
    </row>
    <row r="79" spans="4:17" ht="15.75" customHeight="1" thickTop="1" thickBot="1">
      <c r="D79" s="786"/>
      <c r="F79" s="75"/>
      <c r="H79" s="1281" t="s">
        <v>1588</v>
      </c>
      <c r="I79" s="1158">
        <v>2</v>
      </c>
      <c r="J79" s="1281">
        <v>3</v>
      </c>
      <c r="K79" s="1281">
        <v>4</v>
      </c>
      <c r="L79" s="1281">
        <v>5</v>
      </c>
      <c r="M79" s="1281">
        <v>6</v>
      </c>
      <c r="N79" s="1281" t="s">
        <v>1589</v>
      </c>
      <c r="O79" s="11"/>
      <c r="Q79" s="88"/>
    </row>
    <row r="80" spans="4:17" ht="15" thickTop="1">
      <c r="F80" s="75"/>
      <c r="Q80" s="88"/>
    </row>
    <row r="81" spans="6:17" ht="15" thickBot="1">
      <c r="F81" s="75"/>
      <c r="Q81" s="88"/>
    </row>
    <row r="82" spans="6:17" ht="15" thickBot="1">
      <c r="F82" s="75"/>
      <c r="G82" s="1162" t="s">
        <v>1535</v>
      </c>
      <c r="H82" s="1233" t="s">
        <v>260</v>
      </c>
      <c r="I82" s="1162" t="s">
        <v>1539</v>
      </c>
      <c r="J82" s="1285">
        <v>5</v>
      </c>
      <c r="K82" s="1162" t="s">
        <v>1541</v>
      </c>
      <c r="L82" s="1233" t="str">
        <f>VLOOKUP($H$82,$H$72:$N$78,J82,FALSE)</f>
        <v>Moderate_</v>
      </c>
      <c r="M82" s="1160" t="s">
        <v>1537</v>
      </c>
      <c r="N82" s="1235">
        <f>VLOOKUP($H$82,$H$72:$N$78,2,FALSE)</f>
        <v>4</v>
      </c>
      <c r="Q82" s="88"/>
    </row>
    <row r="83" spans="6:17" ht="15" thickBot="1">
      <c r="F83" s="75"/>
      <c r="G83" s="1163" t="s">
        <v>1536</v>
      </c>
      <c r="H83" s="1234" t="s">
        <v>260</v>
      </c>
      <c r="I83" s="1163" t="s">
        <v>1540</v>
      </c>
      <c r="J83" s="1285">
        <v>5</v>
      </c>
      <c r="K83" s="1163" t="s">
        <v>1542</v>
      </c>
      <c r="L83" s="1234" t="str">
        <f>HLOOKUP($H$83,$H$72:$N$78,J83,FALSE)</f>
        <v>Moderate_</v>
      </c>
      <c r="M83" s="1161" t="s">
        <v>1538</v>
      </c>
      <c r="N83" s="1236">
        <f>HLOOKUP($H$83,$H$72:$N$78,2,FALSE)</f>
        <v>4</v>
      </c>
      <c r="Q83" s="88"/>
    </row>
    <row r="84" spans="6:17">
      <c r="F84" s="75"/>
      <c r="Q84" s="88"/>
    </row>
    <row r="85" spans="6:17" ht="15" thickBot="1">
      <c r="F85" s="75"/>
      <c r="H85" s="534"/>
      <c r="I85" s="1173"/>
      <c r="J85" s="534"/>
      <c r="K85" s="1173"/>
      <c r="L85" s="534"/>
      <c r="M85" s="1173"/>
      <c r="Q85" s="88"/>
    </row>
    <row r="86" spans="6:17" ht="15.75" customHeight="1" thickTop="1">
      <c r="F86" s="75"/>
      <c r="G86" s="2374" t="s">
        <v>1456</v>
      </c>
      <c r="H86" s="2375"/>
      <c r="I86" s="2375"/>
      <c r="J86" s="2375"/>
      <c r="K86" s="2375"/>
      <c r="L86" s="1230"/>
      <c r="M86" s="1230"/>
      <c r="N86" s="1230"/>
      <c r="O86" s="1230"/>
      <c r="P86" s="1231"/>
      <c r="Q86" s="88"/>
    </row>
    <row r="87" spans="6:17" ht="15" thickBot="1">
      <c r="F87" s="75"/>
      <c r="G87" s="1175"/>
      <c r="H87" s="1182"/>
      <c r="I87" s="1183"/>
      <c r="J87" s="1182"/>
      <c r="K87" s="1183"/>
      <c r="L87" s="1336" t="s">
        <v>1603</v>
      </c>
      <c r="M87" s="1183"/>
      <c r="N87" s="1184"/>
      <c r="O87" s="1184"/>
      <c r="P87" s="1180"/>
      <c r="Q87" s="88"/>
    </row>
    <row r="88" spans="6:17" ht="16.75" thickTop="1" thickBot="1">
      <c r="F88" s="75"/>
      <c r="G88" s="1176" t="s">
        <v>1457</v>
      </c>
      <c r="H88" s="1185">
        <f>VLOOKUP(L88,$H$72:$N$81,2,FALSE)</f>
        <v>3</v>
      </c>
      <c r="I88" s="1182" t="s">
        <v>1455</v>
      </c>
      <c r="J88" s="1186" t="str">
        <f>VLOOKUP(L88,$H$72:$N$78, HLOOKUP(L89,$H$72:$N$78,2,FALSE)+1,FALSE)</f>
        <v>Moderate</v>
      </c>
      <c r="K88" s="1178" t="s">
        <v>1452</v>
      </c>
      <c r="L88" s="1187" t="s">
        <v>261</v>
      </c>
      <c r="M88" s="1184" t="s">
        <v>1454</v>
      </c>
      <c r="N88" s="1223" t="s">
        <v>1465</v>
      </c>
      <c r="O88" s="1221" t="s">
        <v>1498</v>
      </c>
      <c r="P88" s="1180"/>
      <c r="Q88" s="88"/>
    </row>
    <row r="89" spans="6:17" ht="16.75" thickTop="1" thickBot="1">
      <c r="F89" s="75"/>
      <c r="G89" s="1176" t="s">
        <v>1451</v>
      </c>
      <c r="H89" s="1185">
        <f>HLOOKUP(L89,$H$72:$N$81,2,FALSE)</f>
        <v>3</v>
      </c>
      <c r="I89" s="1184"/>
      <c r="J89" s="1184"/>
      <c r="K89" s="1178" t="s">
        <v>1453</v>
      </c>
      <c r="L89" s="1188" t="s">
        <v>238</v>
      </c>
      <c r="M89" s="1184" t="s">
        <v>1458</v>
      </c>
      <c r="N89" s="1223" t="s">
        <v>1466</v>
      </c>
      <c r="O89" s="1222" t="s">
        <v>1499</v>
      </c>
      <c r="P89" s="1180"/>
      <c r="Q89" s="88"/>
    </row>
    <row r="90" spans="6:17" ht="15" thickTop="1">
      <c r="F90" s="75"/>
      <c r="G90" s="1175"/>
      <c r="H90" s="1184"/>
      <c r="I90" s="1184"/>
      <c r="J90" s="1184"/>
      <c r="K90" s="1184"/>
      <c r="L90" s="1184"/>
      <c r="M90" s="1184"/>
      <c r="N90" s="1184"/>
      <c r="O90" s="1184"/>
      <c r="P90" s="1180"/>
      <c r="Q90" s="88"/>
    </row>
    <row r="91" spans="6:17" ht="15" thickBot="1">
      <c r="F91" s="75"/>
      <c r="G91" s="1177"/>
      <c r="H91" s="1179"/>
      <c r="I91" s="1179"/>
      <c r="J91" s="1179"/>
      <c r="K91" s="1179"/>
      <c r="L91" s="1179"/>
      <c r="M91" s="1179"/>
      <c r="N91" s="1179"/>
      <c r="O91" s="1179"/>
      <c r="P91" s="1181"/>
      <c r="Q91" s="88"/>
    </row>
    <row r="92" spans="6:17" ht="15" thickTop="1">
      <c r="F92" s="75"/>
      <c r="Q92" s="88"/>
    </row>
    <row r="93" spans="6:17" ht="15" thickBot="1">
      <c r="F93" s="92"/>
      <c r="G93" s="99"/>
      <c r="H93" s="99"/>
      <c r="I93" s="99"/>
      <c r="J93" s="99"/>
      <c r="K93" s="99"/>
      <c r="L93" s="99"/>
      <c r="M93" s="99"/>
      <c r="N93" s="99"/>
      <c r="O93" s="99"/>
      <c r="P93" s="99"/>
      <c r="Q93" s="807"/>
    </row>
    <row r="94" spans="6:17" ht="15" thickTop="1"/>
    <row r="96" spans="6:17" ht="26.6" thickBot="1">
      <c r="J96" s="1275"/>
    </row>
    <row r="97" spans="8:14" ht="15.75" customHeight="1" thickTop="1">
      <c r="H97" s="2376" t="s">
        <v>1534</v>
      </c>
      <c r="I97" s="2377"/>
      <c r="J97" s="2377"/>
      <c r="K97" s="2377"/>
      <c r="L97" s="2377"/>
      <c r="M97" s="2377"/>
      <c r="N97" s="2378"/>
    </row>
    <row r="98" spans="8:14" ht="15.75" customHeight="1" thickBot="1">
      <c r="H98" s="2379"/>
      <c r="I98" s="2380"/>
      <c r="J98" s="2380"/>
      <c r="K98" s="2380"/>
      <c r="L98" s="2380"/>
      <c r="M98" s="2380"/>
      <c r="N98" s="2381"/>
    </row>
    <row r="99" spans="8:14" ht="15.75" customHeight="1" thickTop="1">
      <c r="H99" s="2352" t="s">
        <v>1444</v>
      </c>
      <c r="I99" s="2353"/>
      <c r="J99" s="2353"/>
      <c r="K99" s="2353"/>
      <c r="L99" s="2353"/>
      <c r="M99" s="2353"/>
      <c r="N99" s="2382"/>
    </row>
    <row r="100" spans="8:14" ht="15.75" customHeight="1" thickBot="1">
      <c r="H100" s="2354"/>
      <c r="I100" s="2355"/>
      <c r="J100" s="2355"/>
      <c r="K100" s="2355"/>
      <c r="L100" s="2355"/>
      <c r="M100" s="2355"/>
      <c r="N100" s="2383"/>
    </row>
    <row r="101" spans="8:14" ht="19.3" thickTop="1" thickBot="1">
      <c r="H101" s="2346" t="s">
        <v>1644</v>
      </c>
      <c r="I101" s="2347"/>
      <c r="J101" s="1326" t="s">
        <v>1443</v>
      </c>
      <c r="K101" s="1327"/>
      <c r="L101" s="1327"/>
      <c r="M101" s="1327"/>
      <c r="N101" s="1328"/>
    </row>
    <row r="102" spans="8:14" ht="16.75" thickTop="1" thickBot="1">
      <c r="H102" s="2348"/>
      <c r="I102" s="2349"/>
      <c r="J102" s="1286" t="s">
        <v>1431</v>
      </c>
      <c r="K102" s="1287" t="s">
        <v>1432</v>
      </c>
      <c r="L102" s="1288" t="s">
        <v>1433</v>
      </c>
      <c r="M102" s="1289" t="s">
        <v>1434</v>
      </c>
      <c r="N102" s="1290" t="s">
        <v>1435</v>
      </c>
    </row>
    <row r="103" spans="8:14" ht="16.75" thickTop="1" thickBot="1">
      <c r="H103" s="2350"/>
      <c r="I103" s="2351"/>
      <c r="J103" s="1291" t="s">
        <v>348</v>
      </c>
      <c r="K103" s="1292" t="s">
        <v>238</v>
      </c>
      <c r="L103" s="1293" t="s">
        <v>260</v>
      </c>
      <c r="M103" s="1294" t="s">
        <v>261</v>
      </c>
      <c r="N103" s="1295" t="s">
        <v>235</v>
      </c>
    </row>
    <row r="104" spans="8:14" ht="16.75" thickTop="1" thickBot="1">
      <c r="H104" s="1296" t="s">
        <v>1435</v>
      </c>
      <c r="I104" s="1297" t="s">
        <v>235</v>
      </c>
      <c r="J104" s="1329" t="s">
        <v>1568</v>
      </c>
      <c r="K104" s="684" t="s">
        <v>1569</v>
      </c>
      <c r="L104" s="685" t="s">
        <v>1570</v>
      </c>
      <c r="M104" s="686" t="s">
        <v>1571</v>
      </c>
      <c r="N104" s="687" t="s">
        <v>1572</v>
      </c>
    </row>
    <row r="105" spans="8:14" ht="16.75" thickTop="1" thickBot="1">
      <c r="H105" s="1303" t="s">
        <v>1434</v>
      </c>
      <c r="I105" s="1304" t="s">
        <v>261</v>
      </c>
      <c r="J105" s="688" t="s">
        <v>1573</v>
      </c>
      <c r="K105" s="689" t="s">
        <v>1574</v>
      </c>
      <c r="L105" s="689" t="s">
        <v>1575</v>
      </c>
      <c r="M105" s="690" t="s">
        <v>1576</v>
      </c>
      <c r="N105" s="1330" t="s">
        <v>1577</v>
      </c>
    </row>
    <row r="106" spans="8:14" ht="16.75" thickTop="1" thickBot="1">
      <c r="H106" s="1309" t="s">
        <v>1433</v>
      </c>
      <c r="I106" s="1310" t="s">
        <v>260</v>
      </c>
      <c r="J106" s="688" t="s">
        <v>1578</v>
      </c>
      <c r="K106" s="1331" t="s">
        <v>1579</v>
      </c>
      <c r="L106" s="689" t="s">
        <v>1580</v>
      </c>
      <c r="M106" s="689" t="s">
        <v>1575</v>
      </c>
      <c r="N106" s="693" t="s">
        <v>1581</v>
      </c>
    </row>
    <row r="107" spans="8:14" ht="16.75" thickTop="1" thickBot="1">
      <c r="H107" s="1313" t="s">
        <v>1432</v>
      </c>
      <c r="I107" s="1314" t="s">
        <v>238</v>
      </c>
      <c r="J107" s="694" t="s">
        <v>1582</v>
      </c>
      <c r="K107" s="692" t="s">
        <v>1583</v>
      </c>
      <c r="L107" s="1331" t="s">
        <v>1579</v>
      </c>
      <c r="M107" s="689" t="s">
        <v>1584</v>
      </c>
      <c r="N107" s="695" t="s">
        <v>1569</v>
      </c>
    </row>
    <row r="108" spans="8:14" ht="16.75" thickTop="1" thickBot="1">
      <c r="H108" s="1316" t="s">
        <v>1436</v>
      </c>
      <c r="I108" s="1317" t="s">
        <v>348</v>
      </c>
      <c r="J108" s="696" t="s">
        <v>1585</v>
      </c>
      <c r="K108" s="697" t="s">
        <v>1582</v>
      </c>
      <c r="L108" s="698" t="s">
        <v>1578</v>
      </c>
      <c r="M108" s="698" t="s">
        <v>1573</v>
      </c>
      <c r="N108" s="699" t="s">
        <v>1568</v>
      </c>
    </row>
    <row r="109" spans="8:14" ht="15" thickTop="1"/>
  </sheetData>
  <mergeCells count="12">
    <mergeCell ref="D2:P3"/>
    <mergeCell ref="J70:N70"/>
    <mergeCell ref="H97:N98"/>
    <mergeCell ref="H99:N100"/>
    <mergeCell ref="H101:I103"/>
    <mergeCell ref="G86:K86"/>
    <mergeCell ref="G71:I71"/>
    <mergeCell ref="D29:Q29"/>
    <mergeCell ref="L32:N32"/>
    <mergeCell ref="L38:N38"/>
    <mergeCell ref="H10:P10"/>
    <mergeCell ref="D10:G11"/>
  </mergeCells>
  <dataValidations count="2">
    <dataValidation type="list" allowBlank="1" showInputMessage="1" showErrorMessage="1" sqref="H82:H83" xr:uid="{00000000-0002-0000-1B00-000000000000}">
      <formula1>$H$74:$H$78</formula1>
    </dataValidation>
    <dataValidation type="list" allowBlank="1" showInputMessage="1" showErrorMessage="1" sqref="J82:J83" xr:uid="{00000000-0002-0000-1B00-000001000000}">
      <formula1>"1,2,3,4,5,6"</formula1>
    </dataValidation>
  </dataValidations>
  <pageMargins left="0.7" right="0.7" top="0.75" bottom="0.75" header="0.3" footer="0.3"/>
  <pageSetup orientation="portrait" verticalDpi="0" r:id="rId1"/>
  <drawing r:id="rId2"/>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E3:Z71"/>
  <sheetViews>
    <sheetView workbookViewId="0"/>
  </sheetViews>
  <sheetFormatPr defaultRowHeight="14.6"/>
  <cols>
    <col min="5" max="5" width="24.69140625" customWidth="1"/>
    <col min="6" max="10" width="34.69140625" customWidth="1"/>
    <col min="14" max="14" width="30.69140625" customWidth="1"/>
    <col min="15" max="26" width="18.69140625" customWidth="1"/>
  </cols>
  <sheetData>
    <row r="3" spans="5:13" ht="15" thickBot="1"/>
    <row r="4" spans="5:13" s="23" customFormat="1" ht="20.149999999999999" customHeight="1" thickTop="1">
      <c r="E4" s="2407" t="s">
        <v>1444</v>
      </c>
      <c r="F4" s="2408"/>
      <c r="G4" s="2408"/>
      <c r="H4" s="2408"/>
      <c r="I4" s="2408"/>
      <c r="J4" s="2409"/>
    </row>
    <row r="5" spans="5:13" s="23" customFormat="1" ht="20.149999999999999" customHeight="1" thickBot="1">
      <c r="E5" s="2410"/>
      <c r="F5" s="2411"/>
      <c r="G5" s="2411"/>
      <c r="H5" s="2411"/>
      <c r="I5" s="2411"/>
      <c r="J5" s="2412"/>
    </row>
    <row r="6" spans="5:13" ht="30" customHeight="1" thickTop="1" thickBot="1">
      <c r="E6" s="2413" t="s">
        <v>1644</v>
      </c>
      <c r="F6" s="2416" t="s">
        <v>1677</v>
      </c>
      <c r="G6" s="2417"/>
      <c r="H6" s="2417"/>
      <c r="I6" s="2417"/>
      <c r="J6" s="2042"/>
      <c r="M6" s="23"/>
    </row>
    <row r="7" spans="5:13" ht="30" customHeight="1" thickTop="1" thickBot="1">
      <c r="E7" s="2414"/>
      <c r="F7" s="1463" t="s">
        <v>1431</v>
      </c>
      <c r="G7" s="1464" t="s">
        <v>1432</v>
      </c>
      <c r="H7" s="1465" t="s">
        <v>1433</v>
      </c>
      <c r="I7" s="1466" t="s">
        <v>1434</v>
      </c>
      <c r="J7" s="1467" t="s">
        <v>1435</v>
      </c>
      <c r="M7" s="23"/>
    </row>
    <row r="8" spans="5:13" ht="30" customHeight="1" thickTop="1" thickBot="1">
      <c r="E8" s="2415"/>
      <c r="F8" s="1468" t="s">
        <v>348</v>
      </c>
      <c r="G8" s="1469" t="s">
        <v>388</v>
      </c>
      <c r="H8" s="1470" t="s">
        <v>375</v>
      </c>
      <c r="I8" s="1471" t="s">
        <v>1645</v>
      </c>
      <c r="J8" s="1472" t="s">
        <v>235</v>
      </c>
      <c r="M8" s="23"/>
    </row>
    <row r="9" spans="5:13" ht="19.3" thickTop="1" thickBot="1">
      <c r="E9" s="1441" t="s">
        <v>235</v>
      </c>
      <c r="F9" s="1442" t="s">
        <v>1568</v>
      </c>
      <c r="G9" s="1475" t="s">
        <v>1569</v>
      </c>
      <c r="H9" s="1476" t="s">
        <v>1570</v>
      </c>
      <c r="I9" s="1480" t="s">
        <v>1571</v>
      </c>
      <c r="J9" s="1444" t="s">
        <v>1572</v>
      </c>
      <c r="M9" s="23"/>
    </row>
    <row r="10" spans="5:13" ht="19.3" thickTop="1" thickBot="1">
      <c r="E10" s="1445" t="s">
        <v>261</v>
      </c>
      <c r="F10" s="1477" t="s">
        <v>1573</v>
      </c>
      <c r="G10" s="1481" t="s">
        <v>1574</v>
      </c>
      <c r="H10" s="1443" t="s">
        <v>1575</v>
      </c>
      <c r="I10" s="1453" t="s">
        <v>1576</v>
      </c>
      <c r="J10" s="1479" t="s">
        <v>1577</v>
      </c>
      <c r="M10" s="23"/>
    </row>
    <row r="11" spans="5:13" ht="19.3" thickTop="1" thickBot="1">
      <c r="E11" s="573" t="s">
        <v>260</v>
      </c>
      <c r="F11" s="1477" t="s">
        <v>1578</v>
      </c>
      <c r="G11" s="1442" t="s">
        <v>1579</v>
      </c>
      <c r="H11" s="1447" t="s">
        <v>1580</v>
      </c>
      <c r="I11" s="1449" t="s">
        <v>1575</v>
      </c>
      <c r="J11" s="1455" t="s">
        <v>1581</v>
      </c>
      <c r="M11" s="23"/>
    </row>
    <row r="12" spans="5:13" ht="19.3" thickTop="1" thickBot="1">
      <c r="E12" s="1448" t="s">
        <v>238</v>
      </c>
      <c r="F12" s="1478" t="s">
        <v>1582</v>
      </c>
      <c r="G12" s="1456" t="s">
        <v>1583</v>
      </c>
      <c r="H12" s="1457" t="s">
        <v>1579</v>
      </c>
      <c r="I12" s="1482" t="s">
        <v>1584</v>
      </c>
      <c r="J12" s="1459" t="s">
        <v>1569</v>
      </c>
      <c r="M12" s="23"/>
    </row>
    <row r="13" spans="5:13" ht="19.3" thickTop="1" thickBot="1">
      <c r="E13" s="1081" t="s">
        <v>348</v>
      </c>
      <c r="F13" s="1450" t="s">
        <v>1585</v>
      </c>
      <c r="G13" s="1460" t="s">
        <v>1582</v>
      </c>
      <c r="H13" s="1462" t="s">
        <v>1578</v>
      </c>
      <c r="I13" s="1462" t="s">
        <v>1573</v>
      </c>
      <c r="J13" s="1451" t="s">
        <v>1568</v>
      </c>
      <c r="M13" s="23"/>
    </row>
    <row r="14" spans="5:13" ht="15.45" thickTop="1" thickBot="1"/>
    <row r="15" spans="5:13" ht="20.149999999999999" customHeight="1" thickTop="1">
      <c r="E15" s="2407" t="s">
        <v>1496</v>
      </c>
      <c r="F15" s="2408"/>
      <c r="G15" s="2408"/>
      <c r="H15" s="2408"/>
      <c r="I15" s="2408"/>
      <c r="J15" s="2409"/>
    </row>
    <row r="16" spans="5:13" ht="20.149999999999999" customHeight="1" thickBot="1">
      <c r="E16" s="2410"/>
      <c r="F16" s="2411"/>
      <c r="G16" s="2411"/>
      <c r="H16" s="2411"/>
      <c r="I16" s="2411"/>
      <c r="J16" s="2412"/>
    </row>
    <row r="17" spans="5:26" ht="30" customHeight="1" thickTop="1" thickBot="1">
      <c r="E17" s="2413" t="s">
        <v>1493</v>
      </c>
      <c r="F17" s="2416" t="s">
        <v>1492</v>
      </c>
      <c r="G17" s="2417"/>
      <c r="H17" s="2417"/>
      <c r="I17" s="2417"/>
      <c r="J17" s="2042"/>
    </row>
    <row r="18" spans="5:26" ht="30" customHeight="1" thickTop="1" thickBot="1">
      <c r="E18" s="2414"/>
      <c r="F18" s="1463" t="s">
        <v>1431</v>
      </c>
      <c r="G18" s="1464" t="s">
        <v>1432</v>
      </c>
      <c r="H18" s="1465" t="s">
        <v>1433</v>
      </c>
      <c r="I18" s="1466" t="s">
        <v>1434</v>
      </c>
      <c r="J18" s="1467" t="s">
        <v>1435</v>
      </c>
    </row>
    <row r="19" spans="5:26" ht="30" customHeight="1" thickTop="1" thickBot="1">
      <c r="E19" s="2415"/>
      <c r="F19" s="1468" t="s">
        <v>348</v>
      </c>
      <c r="G19" s="1469" t="s">
        <v>388</v>
      </c>
      <c r="H19" s="1470" t="s">
        <v>375</v>
      </c>
      <c r="I19" s="1471" t="s">
        <v>1645</v>
      </c>
      <c r="J19" s="1472" t="s">
        <v>235</v>
      </c>
    </row>
    <row r="20" spans="5:26" ht="19.3" thickTop="1" thickBot="1">
      <c r="E20" s="1441" t="s">
        <v>235</v>
      </c>
      <c r="F20" s="1442" t="s">
        <v>1543</v>
      </c>
      <c r="G20" s="1474" t="s">
        <v>1544</v>
      </c>
      <c r="H20" s="1475" t="s">
        <v>1545</v>
      </c>
      <c r="I20" s="1476" t="s">
        <v>1546</v>
      </c>
      <c r="J20" s="1444" t="s">
        <v>1547</v>
      </c>
    </row>
    <row r="21" spans="5:26" ht="19.3" thickTop="1" thickBot="1">
      <c r="E21" s="1445" t="s">
        <v>261</v>
      </c>
      <c r="F21" s="1473" t="s">
        <v>1548</v>
      </c>
      <c r="G21" s="1452" t="s">
        <v>1549</v>
      </c>
      <c r="H21" s="1443" t="s">
        <v>1550</v>
      </c>
      <c r="I21" s="1453" t="s">
        <v>1551</v>
      </c>
      <c r="J21" s="1454" t="s">
        <v>1552</v>
      </c>
    </row>
    <row r="22" spans="5:26" ht="19.3" thickTop="1" thickBot="1">
      <c r="E22" s="573" t="s">
        <v>260</v>
      </c>
      <c r="F22" s="1473" t="s">
        <v>1553</v>
      </c>
      <c r="G22" s="1446" t="s">
        <v>1554</v>
      </c>
      <c r="H22" s="1447" t="s">
        <v>1555</v>
      </c>
      <c r="I22" s="1449" t="s">
        <v>1556</v>
      </c>
      <c r="J22" s="1455" t="s">
        <v>1557</v>
      </c>
    </row>
    <row r="23" spans="5:26" ht="19.3" thickTop="1" thickBot="1">
      <c r="E23" s="1448" t="s">
        <v>238</v>
      </c>
      <c r="F23" s="1473" t="s">
        <v>1558</v>
      </c>
      <c r="G23" s="1456" t="s">
        <v>1559</v>
      </c>
      <c r="H23" s="1457" t="s">
        <v>1560</v>
      </c>
      <c r="I23" s="1458" t="s">
        <v>1561</v>
      </c>
      <c r="J23" s="1459" t="s">
        <v>1562</v>
      </c>
    </row>
    <row r="24" spans="5:26" ht="19.3" thickTop="1" thickBot="1">
      <c r="E24" s="1081" t="s">
        <v>348</v>
      </c>
      <c r="F24" s="1450" t="s">
        <v>1563</v>
      </c>
      <c r="G24" s="1460" t="s">
        <v>1564</v>
      </c>
      <c r="H24" s="1461" t="s">
        <v>1565</v>
      </c>
      <c r="I24" s="1462" t="s">
        <v>1566</v>
      </c>
      <c r="J24" s="1451" t="s">
        <v>1567</v>
      </c>
    </row>
    <row r="25" spans="5:26" ht="15" thickTop="1"/>
    <row r="30" spans="5:26">
      <c r="O30" s="650">
        <v>1</v>
      </c>
      <c r="P30" s="651">
        <f>1+O30</f>
        <v>2</v>
      </c>
      <c r="Q30" s="651">
        <f t="shared" ref="Q30:Z30" si="0">1+P30</f>
        <v>3</v>
      </c>
      <c r="R30" s="651">
        <f t="shared" si="0"/>
        <v>4</v>
      </c>
      <c r="S30" s="651">
        <f t="shared" si="0"/>
        <v>5</v>
      </c>
      <c r="T30" s="651">
        <f t="shared" si="0"/>
        <v>6</v>
      </c>
      <c r="U30" s="651">
        <f t="shared" si="0"/>
        <v>7</v>
      </c>
      <c r="V30" s="651">
        <f t="shared" si="0"/>
        <v>8</v>
      </c>
      <c r="W30" s="651">
        <f t="shared" si="0"/>
        <v>9</v>
      </c>
      <c r="X30" s="651">
        <f t="shared" si="0"/>
        <v>10</v>
      </c>
      <c r="Y30" s="651">
        <f t="shared" si="0"/>
        <v>11</v>
      </c>
      <c r="Z30" s="651">
        <f t="shared" si="0"/>
        <v>12</v>
      </c>
    </row>
    <row r="31" spans="5:26">
      <c r="N31" s="23"/>
      <c r="O31" s="23"/>
      <c r="P31" s="23"/>
      <c r="Q31" s="23"/>
      <c r="R31" s="23"/>
      <c r="S31" s="23"/>
      <c r="T31" s="23"/>
      <c r="U31" s="23"/>
      <c r="V31" s="23"/>
      <c r="W31" s="23"/>
      <c r="X31" s="23"/>
      <c r="Y31" s="23"/>
      <c r="Z31" s="23"/>
    </row>
    <row r="32" spans="5:26" ht="15" thickBot="1"/>
    <row r="33" spans="14:26" ht="85.75" thickTop="1" thickBot="1">
      <c r="N33" s="1504" t="s">
        <v>1647</v>
      </c>
      <c r="O33" s="2399" t="s">
        <v>1646</v>
      </c>
      <c r="P33" s="2400"/>
      <c r="Q33" s="2400"/>
      <c r="R33" s="2400"/>
      <c r="S33" s="2400"/>
      <c r="T33" s="2400"/>
      <c r="U33" s="2400"/>
      <c r="V33" s="2400"/>
      <c r="W33" s="2400"/>
      <c r="X33" s="2400"/>
      <c r="Y33" s="2400"/>
      <c r="Z33" s="2400"/>
    </row>
    <row r="34" spans="14:26" ht="19.75" thickTop="1" thickBot="1">
      <c r="N34" s="1483" t="s">
        <v>131</v>
      </c>
      <c r="O34" s="1484">
        <v>0</v>
      </c>
      <c r="P34" s="1495">
        <v>1</v>
      </c>
      <c r="Q34" s="1485">
        <v>2</v>
      </c>
      <c r="R34" s="647">
        <v>3</v>
      </c>
      <c r="S34" s="1485">
        <v>4</v>
      </c>
      <c r="T34" s="1496">
        <v>5</v>
      </c>
      <c r="U34" s="1493"/>
      <c r="V34" s="1493"/>
      <c r="W34" s="1493"/>
      <c r="X34" s="1493"/>
      <c r="Y34" s="1493"/>
      <c r="Z34" s="1494"/>
    </row>
    <row r="35" spans="14:26" ht="19.75" thickTop="1" thickBot="1">
      <c r="N35" s="1486" t="s">
        <v>130</v>
      </c>
      <c r="O35" s="1500" t="s">
        <v>1659</v>
      </c>
      <c r="P35" s="1487" t="s">
        <v>1660</v>
      </c>
      <c r="Q35" s="1499" t="s">
        <v>1661</v>
      </c>
      <c r="R35" s="1487" t="s">
        <v>1662</v>
      </c>
      <c r="S35" s="643" t="s">
        <v>1663</v>
      </c>
      <c r="T35" s="1487" t="s">
        <v>1664</v>
      </c>
      <c r="U35" s="1499" t="s">
        <v>1665</v>
      </c>
      <c r="V35" s="1488" t="s">
        <v>1666</v>
      </c>
      <c r="W35" s="2404"/>
      <c r="X35" s="2405"/>
      <c r="Y35" s="2405"/>
      <c r="Z35" s="2406"/>
    </row>
    <row r="36" spans="14:26" ht="19.75" thickTop="1" thickBot="1">
      <c r="N36" s="1489" t="s">
        <v>129</v>
      </c>
      <c r="O36" s="1498" t="s">
        <v>1648</v>
      </c>
      <c r="P36" s="1487" t="s">
        <v>1649</v>
      </c>
      <c r="Q36" s="1497" t="s">
        <v>1650</v>
      </c>
      <c r="R36" s="1487" t="s">
        <v>1651</v>
      </c>
      <c r="S36" s="1497" t="s">
        <v>1652</v>
      </c>
      <c r="T36" s="1487" t="s">
        <v>1653</v>
      </c>
      <c r="U36" s="1490" t="s">
        <v>1675</v>
      </c>
      <c r="V36" s="1487" t="s">
        <v>1654</v>
      </c>
      <c r="W36" s="1497" t="s">
        <v>1655</v>
      </c>
      <c r="X36" s="1487" t="s">
        <v>1656</v>
      </c>
      <c r="Y36" s="1497" t="s">
        <v>1657</v>
      </c>
      <c r="Z36" s="1488" t="s">
        <v>1658</v>
      </c>
    </row>
    <row r="37" spans="14:26" ht="19.75" thickTop="1" thickBot="1">
      <c r="N37" s="1491" t="s">
        <v>128</v>
      </c>
      <c r="O37" s="1502" t="s">
        <v>1667</v>
      </c>
      <c r="P37" s="1485" t="s">
        <v>1668</v>
      </c>
      <c r="Q37" s="1501" t="s">
        <v>1669</v>
      </c>
      <c r="R37" s="1485" t="s">
        <v>1670</v>
      </c>
      <c r="S37" s="647" t="s">
        <v>1671</v>
      </c>
      <c r="T37" s="1485" t="s">
        <v>1672</v>
      </c>
      <c r="U37" s="1501" t="s">
        <v>1673</v>
      </c>
      <c r="V37" s="1488" t="s">
        <v>1674</v>
      </c>
      <c r="W37" s="2401"/>
      <c r="X37" s="2402"/>
      <c r="Y37" s="2402"/>
      <c r="Z37" s="2403"/>
    </row>
    <row r="38" spans="14:26" ht="19.75" thickTop="1" thickBot="1">
      <c r="N38" s="1492" t="s">
        <v>145</v>
      </c>
      <c r="O38" s="1503">
        <v>96</v>
      </c>
      <c r="P38" s="1485">
        <v>97</v>
      </c>
      <c r="Q38" s="647">
        <v>98</v>
      </c>
      <c r="R38" s="1485">
        <v>99</v>
      </c>
      <c r="S38" s="1496">
        <v>100</v>
      </c>
      <c r="T38" s="2401"/>
      <c r="U38" s="2402"/>
      <c r="V38" s="2402"/>
      <c r="W38" s="2402"/>
      <c r="X38" s="2402"/>
      <c r="Y38" s="2402"/>
      <c r="Z38" s="2403"/>
    </row>
    <row r="39" spans="14:26" ht="15" thickTop="1"/>
    <row r="49" spans="5:10" ht="15" thickBot="1"/>
    <row r="50" spans="5:10" ht="20.149999999999999" customHeight="1" thickTop="1">
      <c r="E50" s="2407" t="s">
        <v>1444</v>
      </c>
      <c r="F50" s="2408"/>
      <c r="G50" s="2408"/>
      <c r="H50" s="2408"/>
      <c r="I50" s="2408"/>
      <c r="J50" s="2409"/>
    </row>
    <row r="51" spans="5:10" ht="20.149999999999999" customHeight="1" thickBot="1">
      <c r="E51" s="2410"/>
      <c r="F51" s="2411"/>
      <c r="G51" s="2411"/>
      <c r="H51" s="2411"/>
      <c r="I51" s="2411"/>
      <c r="J51" s="2412"/>
    </row>
    <row r="52" spans="5:10" ht="30" customHeight="1" thickTop="1" thickBot="1">
      <c r="E52" s="2413" t="s">
        <v>1644</v>
      </c>
      <c r="F52" s="2416" t="s">
        <v>1443</v>
      </c>
      <c r="G52" s="2417"/>
      <c r="H52" s="2417"/>
      <c r="I52" s="2417"/>
      <c r="J52" s="2042"/>
    </row>
    <row r="53" spans="5:10" ht="30" customHeight="1" thickTop="1" thickBot="1">
      <c r="E53" s="2414"/>
      <c r="F53" s="1463" t="s">
        <v>1431</v>
      </c>
      <c r="G53" s="1464" t="s">
        <v>1432</v>
      </c>
      <c r="H53" s="1465" t="s">
        <v>1433</v>
      </c>
      <c r="I53" s="1466" t="s">
        <v>1434</v>
      </c>
      <c r="J53" s="1467" t="s">
        <v>1435</v>
      </c>
    </row>
    <row r="54" spans="5:10" ht="30" customHeight="1" thickTop="1" thickBot="1">
      <c r="E54" s="2415"/>
      <c r="F54" s="1468" t="s">
        <v>348</v>
      </c>
      <c r="G54" s="1469" t="s">
        <v>388</v>
      </c>
      <c r="H54" s="1470" t="s">
        <v>375</v>
      </c>
      <c r="I54" s="1471" t="s">
        <v>1645</v>
      </c>
      <c r="J54" s="1472" t="s">
        <v>235</v>
      </c>
    </row>
    <row r="55" spans="5:10" ht="19.3" thickTop="1" thickBot="1">
      <c r="E55" s="1441" t="s">
        <v>235</v>
      </c>
      <c r="F55" s="1505">
        <v>18</v>
      </c>
      <c r="G55" s="1475">
        <v>67</v>
      </c>
      <c r="H55" s="1476">
        <v>88</v>
      </c>
      <c r="I55" s="1480">
        <v>97</v>
      </c>
      <c r="J55" s="1444">
        <v>98</v>
      </c>
    </row>
    <row r="56" spans="5:10" ht="19.3" thickTop="1" thickBot="1">
      <c r="E56" s="1445" t="s">
        <v>261</v>
      </c>
      <c r="F56" s="1477">
        <v>15</v>
      </c>
      <c r="G56" s="1481">
        <v>51</v>
      </c>
      <c r="H56" s="1443">
        <v>67</v>
      </c>
      <c r="I56" s="1453">
        <v>88</v>
      </c>
      <c r="J56" s="1454">
        <v>97</v>
      </c>
    </row>
    <row r="57" spans="5:10" ht="19.3" thickTop="1" thickBot="1">
      <c r="E57" s="573" t="s">
        <v>260</v>
      </c>
      <c r="F57" s="1477">
        <v>13</v>
      </c>
      <c r="G57" s="1505">
        <v>15</v>
      </c>
      <c r="H57" s="1447">
        <v>51</v>
      </c>
      <c r="I57" s="1449">
        <v>67</v>
      </c>
      <c r="J57" s="1455">
        <v>88</v>
      </c>
    </row>
    <row r="58" spans="5:10" ht="19.3" thickTop="1" thickBot="1">
      <c r="E58" s="1448" t="s">
        <v>238</v>
      </c>
      <c r="F58" s="1478">
        <v>2</v>
      </c>
      <c r="G58" s="1456">
        <v>13</v>
      </c>
      <c r="H58" s="1506">
        <v>15</v>
      </c>
      <c r="I58" s="1482">
        <v>51</v>
      </c>
      <c r="J58" s="1459">
        <v>67</v>
      </c>
    </row>
    <row r="59" spans="5:10" ht="19.3" thickTop="1" thickBot="1">
      <c r="E59" s="1081" t="s">
        <v>348</v>
      </c>
      <c r="F59" s="1450">
        <v>1</v>
      </c>
      <c r="G59" s="1460">
        <v>2</v>
      </c>
      <c r="H59" s="1462">
        <v>13</v>
      </c>
      <c r="I59" s="1462">
        <v>15</v>
      </c>
      <c r="J59" s="1451">
        <v>18</v>
      </c>
    </row>
    <row r="60" spans="5:10" ht="15.45" thickTop="1" thickBot="1"/>
    <row r="61" spans="5:10" ht="20.149999999999999" customHeight="1" thickTop="1">
      <c r="E61" s="2407" t="s">
        <v>1496</v>
      </c>
      <c r="F61" s="2408"/>
      <c r="G61" s="2408"/>
      <c r="H61" s="2408"/>
      <c r="I61" s="2408"/>
      <c r="J61" s="2409"/>
    </row>
    <row r="62" spans="5:10" ht="20.149999999999999" customHeight="1" thickBot="1">
      <c r="E62" s="2410"/>
      <c r="F62" s="2411"/>
      <c r="G62" s="2411"/>
      <c r="H62" s="2411"/>
      <c r="I62" s="2411"/>
      <c r="J62" s="2412"/>
    </row>
    <row r="63" spans="5:10" ht="30" customHeight="1" thickTop="1" thickBot="1">
      <c r="E63" s="2413" t="s">
        <v>1493</v>
      </c>
      <c r="F63" s="2416" t="s">
        <v>1492</v>
      </c>
      <c r="G63" s="2417"/>
      <c r="H63" s="2417"/>
      <c r="I63" s="2417"/>
      <c r="J63" s="2042"/>
    </row>
    <row r="64" spans="5:10" ht="30" customHeight="1" thickTop="1" thickBot="1">
      <c r="E64" s="2414"/>
      <c r="F64" s="1463" t="s">
        <v>1431</v>
      </c>
      <c r="G64" s="1464" t="s">
        <v>1432</v>
      </c>
      <c r="H64" s="1465" t="s">
        <v>1433</v>
      </c>
      <c r="I64" s="1466" t="s">
        <v>1434</v>
      </c>
      <c r="J64" s="1467" t="s">
        <v>1435</v>
      </c>
    </row>
    <row r="65" spans="5:10" ht="30" customHeight="1" thickTop="1" thickBot="1">
      <c r="E65" s="2415"/>
      <c r="F65" s="1468" t="s">
        <v>348</v>
      </c>
      <c r="G65" s="1469" t="s">
        <v>388</v>
      </c>
      <c r="H65" s="1470" t="s">
        <v>375</v>
      </c>
      <c r="I65" s="1471" t="s">
        <v>1645</v>
      </c>
      <c r="J65" s="1472" t="s">
        <v>235</v>
      </c>
    </row>
    <row r="66" spans="5:10" ht="19.3" thickTop="1" thickBot="1">
      <c r="E66" s="1441" t="s">
        <v>235</v>
      </c>
      <c r="F66" s="1510">
        <v>4</v>
      </c>
      <c r="G66" s="1507">
        <v>18</v>
      </c>
      <c r="H66" s="1475">
        <v>75</v>
      </c>
      <c r="I66" s="1476">
        <v>91</v>
      </c>
      <c r="J66" s="1444">
        <v>100</v>
      </c>
    </row>
    <row r="67" spans="5:10" ht="19.3" thickTop="1" thickBot="1">
      <c r="E67" s="1445" t="s">
        <v>261</v>
      </c>
      <c r="F67" s="1478">
        <v>3</v>
      </c>
      <c r="G67" s="1508">
        <v>17</v>
      </c>
      <c r="H67" s="1443">
        <v>60</v>
      </c>
      <c r="I67" s="1453">
        <v>88</v>
      </c>
      <c r="J67" s="1454">
        <v>99</v>
      </c>
    </row>
    <row r="68" spans="5:10" ht="19.3" thickTop="1" thickBot="1">
      <c r="E68" s="573" t="s">
        <v>260</v>
      </c>
      <c r="F68" s="1478">
        <v>2</v>
      </c>
      <c r="G68" s="1446">
        <v>15</v>
      </c>
      <c r="H68" s="1447">
        <v>51</v>
      </c>
      <c r="I68" s="1449">
        <v>60</v>
      </c>
      <c r="J68" s="1455">
        <v>88</v>
      </c>
    </row>
    <row r="69" spans="5:10" ht="19.3" thickTop="1" thickBot="1">
      <c r="E69" s="1448" t="s">
        <v>238</v>
      </c>
      <c r="F69" s="1478">
        <v>1</v>
      </c>
      <c r="G69" s="1456">
        <v>13</v>
      </c>
      <c r="H69" s="1506">
        <v>15</v>
      </c>
      <c r="I69" s="1509">
        <v>17</v>
      </c>
      <c r="J69" s="1459">
        <v>60</v>
      </c>
    </row>
    <row r="70" spans="5:10" ht="19.3" thickTop="1" thickBot="1">
      <c r="E70" s="1081" t="s">
        <v>348</v>
      </c>
      <c r="F70" s="1450">
        <v>0</v>
      </c>
      <c r="G70" s="1460">
        <v>1</v>
      </c>
      <c r="H70" s="1460">
        <v>2</v>
      </c>
      <c r="I70" s="1462">
        <v>15</v>
      </c>
      <c r="J70" s="1451">
        <v>17</v>
      </c>
    </row>
    <row r="71" spans="5:10" ht="15" thickTop="1"/>
  </sheetData>
  <mergeCells count="16">
    <mergeCell ref="E50:J51"/>
    <mergeCell ref="E52:E54"/>
    <mergeCell ref="F52:J52"/>
    <mergeCell ref="E61:J62"/>
    <mergeCell ref="E63:E65"/>
    <mergeCell ref="F63:J63"/>
    <mergeCell ref="O33:Z33"/>
    <mergeCell ref="T38:Z38"/>
    <mergeCell ref="W35:Z35"/>
    <mergeCell ref="W37:Z37"/>
    <mergeCell ref="E4:J5"/>
    <mergeCell ref="E6:E8"/>
    <mergeCell ref="E15:J16"/>
    <mergeCell ref="E17:E19"/>
    <mergeCell ref="F17:J17"/>
    <mergeCell ref="F6:J6"/>
  </mergeCells>
  <pageMargins left="0.7" right="0.7" top="0.75" bottom="0.75" header="0.3" footer="0.3"/>
  <pageSetup orientation="portrait" verticalDpi="0" r:id="rId1"/>
  <drawing r:id="rId2"/>
  <legacyDrawing r:id="rId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theme="4" tint="0.59999389629810485"/>
  </sheetPr>
  <dimension ref="C1:AJ118"/>
  <sheetViews>
    <sheetView workbookViewId="0"/>
  </sheetViews>
  <sheetFormatPr defaultRowHeight="14.6"/>
  <cols>
    <col min="3" max="3" width="26.69140625" customWidth="1"/>
    <col min="4" max="4" width="14.69140625" customWidth="1"/>
    <col min="5" max="5" width="28.69140625" customWidth="1"/>
    <col min="6" max="9" width="28.69140625" style="23" customWidth="1"/>
    <col min="10" max="10" width="22.69140625" style="23" customWidth="1"/>
    <col min="11" max="11" width="10.69140625" style="23" customWidth="1"/>
    <col min="12" max="12" width="24.69140625" customWidth="1"/>
    <col min="16" max="35" width="9.69140625" customWidth="1"/>
  </cols>
  <sheetData>
    <row r="1" spans="3:26">
      <c r="F1"/>
      <c r="G1"/>
      <c r="H1"/>
      <c r="I1"/>
      <c r="J1"/>
      <c r="K1"/>
    </row>
    <row r="2" spans="3:26" ht="18.45">
      <c r="C2" s="525"/>
      <c r="D2" s="525"/>
      <c r="E2" s="525"/>
      <c r="F2" s="525"/>
      <c r="G2" s="525"/>
      <c r="H2" s="525"/>
      <c r="I2" s="525"/>
      <c r="K2"/>
    </row>
    <row r="3" spans="3:26">
      <c r="E3" s="773" t="s">
        <v>1117</v>
      </c>
      <c r="G3" s="773" t="s">
        <v>1119</v>
      </c>
      <c r="I3"/>
      <c r="K3"/>
    </row>
    <row r="4" spans="3:26" ht="15" thickBot="1">
      <c r="E4" s="768" t="s">
        <v>1116</v>
      </c>
      <c r="G4" s="768" t="s">
        <v>1118</v>
      </c>
      <c r="K4"/>
    </row>
    <row r="5" spans="3:26" ht="15" thickTop="1">
      <c r="F5"/>
      <c r="G5"/>
      <c r="K5"/>
    </row>
    <row r="6" spans="3:26">
      <c r="F6"/>
      <c r="G6"/>
      <c r="J6" s="43" t="s">
        <v>1125</v>
      </c>
      <c r="K6" s="43"/>
      <c r="L6" s="43"/>
      <c r="M6" s="43"/>
      <c r="N6" s="43"/>
      <c r="O6" s="43"/>
      <c r="P6" s="43"/>
    </row>
    <row r="7" spans="3:26">
      <c r="F7"/>
      <c r="G7"/>
      <c r="I7" s="790" t="s">
        <v>1126</v>
      </c>
      <c r="J7" s="2391" t="s">
        <v>348</v>
      </c>
      <c r="K7" s="2391"/>
      <c r="L7" s="2391"/>
      <c r="M7" s="2391"/>
      <c r="N7" s="2391"/>
      <c r="O7" s="2391"/>
      <c r="P7" s="2391"/>
    </row>
    <row r="8" spans="3:26">
      <c r="E8" s="23"/>
      <c r="I8" s="789" t="s">
        <v>1127</v>
      </c>
      <c r="J8" s="2437" t="str">
        <f ca="1">OFFSET($E$23,MATCH(Work!$AW$8,$C$23:$C$27,0)-1,MATCH(Work!$BA$8,$E$21:$I$21,0)-1)</f>
        <v>Moderate</v>
      </c>
      <c r="K8" s="2437"/>
      <c r="L8" s="2437"/>
      <c r="M8" s="2437"/>
      <c r="N8" s="2437"/>
      <c r="O8" s="2437"/>
      <c r="P8" s="2437"/>
    </row>
    <row r="9" spans="3:26">
      <c r="E9" s="23"/>
      <c r="I9" s="538" t="s">
        <v>1128</v>
      </c>
      <c r="J9" s="2391" t="e">
        <f ca="1">OFFSET($E$23,MATCH(Work!$AY$8,$C$23:$C$27,0)-1,MATCH(Work!$BA$8,$E$21:$I$21,0)-1)</f>
        <v>#N/A</v>
      </c>
      <c r="K9" s="2391"/>
      <c r="L9" s="2391"/>
      <c r="M9" s="2391"/>
      <c r="N9" s="2391"/>
      <c r="O9" s="2391"/>
      <c r="P9" s="2391"/>
    </row>
    <row r="10" spans="3:26">
      <c r="E10" s="23"/>
      <c r="I10" s="38" t="s">
        <v>1129</v>
      </c>
      <c r="J10" s="2438" t="str">
        <f ca="1">IF(Adversarial,   OFFSET($E$23, MATCH(Work!$AW$8,$C$23:$C$27,0)-1,  MATCH(Work!$BA$8,$E$21:$I$21,0)-1),   Work!BA7 )</f>
        <v>Moderate</v>
      </c>
      <c r="K10" s="2438"/>
      <c r="L10" s="2438"/>
      <c r="M10" s="2438"/>
      <c r="N10" s="2438"/>
      <c r="O10" s="2438"/>
      <c r="P10" s="2438"/>
      <c r="Q10" s="2438"/>
      <c r="R10" s="2438"/>
      <c r="S10" s="2438"/>
      <c r="T10" s="2438"/>
      <c r="U10" s="2438"/>
      <c r="V10" s="2438"/>
      <c r="W10" s="2438"/>
      <c r="X10" s="2438"/>
      <c r="Y10" s="2438"/>
      <c r="Z10" s="2438"/>
    </row>
    <row r="11" spans="3:26">
      <c r="E11" s="23"/>
      <c r="H11"/>
      <c r="I11" s="38" t="s">
        <v>1130</v>
      </c>
      <c r="J11" s="116">
        <f ca="1">G5Score</f>
        <v>51</v>
      </c>
      <c r="K11" s="873"/>
      <c r="L11" s="873"/>
      <c r="M11" s="873"/>
      <c r="N11" s="873"/>
      <c r="O11" s="873"/>
      <c r="P11" s="873"/>
      <c r="Q11" s="873"/>
      <c r="R11" s="873"/>
      <c r="S11" s="873"/>
      <c r="T11" s="873"/>
      <c r="U11" s="873"/>
      <c r="V11" s="873"/>
      <c r="W11" s="873"/>
      <c r="X11" s="873"/>
      <c r="Y11" s="873"/>
      <c r="Z11" s="873"/>
    </row>
    <row r="12" spans="3:26">
      <c r="E12" s="23"/>
      <c r="I12" s="38"/>
      <c r="J12"/>
      <c r="K12"/>
    </row>
    <row r="13" spans="3:26" ht="18.899999999999999" thickBot="1">
      <c r="D13" s="777" t="s">
        <v>1115</v>
      </c>
      <c r="E13" s="778" t="s">
        <v>1113</v>
      </c>
      <c r="G13" s="779" t="s">
        <v>1112</v>
      </c>
      <c r="H13" s="777" t="s">
        <v>1114</v>
      </c>
      <c r="I13"/>
      <c r="J13" s="776" t="s">
        <v>258</v>
      </c>
      <c r="K13"/>
      <c r="M13" s="17" t="s">
        <v>1303</v>
      </c>
    </row>
    <row r="14" spans="3:26" ht="15.45" thickTop="1" thickBot="1">
      <c r="D14" s="115">
        <f>MATCH($E$14, $C$23:$C$27,0)</f>
        <v>4</v>
      </c>
      <c r="E14" s="772" t="s">
        <v>130</v>
      </c>
      <c r="G14" s="622" t="s">
        <v>131</v>
      </c>
      <c r="H14" s="115">
        <f>MATCH($G$14,$E$21:$I$21,0)</f>
        <v>1</v>
      </c>
      <c r="I14"/>
      <c r="J14" s="622" t="str">
        <f ca="1">OFFSET($E$23,MATCH(G5_Concept_1!$E$14,$C$23:$C$27,0)-1,MATCH(G5_Concept_1!$G$14,$E$21:$I$21,0)-1)</f>
        <v>Very Low</v>
      </c>
      <c r="K14"/>
    </row>
    <row r="15" spans="3:26" ht="15.45" thickTop="1" thickBot="1">
      <c r="D15" s="43"/>
      <c r="J15" s="771">
        <f ca="1">OFFSET($E$35,MATCH($E$14,$C$23:$C$27,0)-1,MATCH($G$14,$E$21:$I$21,0)-1)</f>
        <v>2</v>
      </c>
      <c r="K15"/>
    </row>
    <row r="16" spans="3:26" ht="15.45" thickTop="1" thickBot="1">
      <c r="K16"/>
    </row>
    <row r="17" spans="3:36" ht="19.3" thickTop="1" thickBot="1">
      <c r="E17" s="472">
        <v>1</v>
      </c>
      <c r="F17" s="472">
        <v>2</v>
      </c>
      <c r="G17" s="472">
        <v>3</v>
      </c>
      <c r="H17" s="472">
        <v>4</v>
      </c>
      <c r="I17" s="472">
        <v>5</v>
      </c>
    </row>
    <row r="18" spans="3:36" ht="19.3" thickTop="1" thickBot="1">
      <c r="C18" s="770" t="s">
        <v>1110</v>
      </c>
      <c r="D18" s="770" t="s">
        <v>1111</v>
      </c>
      <c r="E18" s="769" t="s">
        <v>1102</v>
      </c>
      <c r="F18" s="769" t="s">
        <v>1106</v>
      </c>
      <c r="G18" s="769" t="s">
        <v>1107</v>
      </c>
      <c r="H18" s="769" t="s">
        <v>1108</v>
      </c>
      <c r="I18" s="769" t="s">
        <v>1109</v>
      </c>
      <c r="P18" s="650">
        <v>1</v>
      </c>
      <c r="Q18" s="651">
        <f>1+P18</f>
        <v>2</v>
      </c>
      <c r="R18" s="651">
        <f t="shared" ref="R18:AI18" si="0">1+Q18</f>
        <v>3</v>
      </c>
      <c r="S18" s="651">
        <f t="shared" si="0"/>
        <v>4</v>
      </c>
      <c r="T18" s="651">
        <f t="shared" si="0"/>
        <v>5</v>
      </c>
      <c r="U18" s="651">
        <f t="shared" si="0"/>
        <v>6</v>
      </c>
      <c r="V18" s="651">
        <f t="shared" si="0"/>
        <v>7</v>
      </c>
      <c r="W18" s="651">
        <f t="shared" si="0"/>
        <v>8</v>
      </c>
      <c r="X18" s="651">
        <f t="shared" si="0"/>
        <v>9</v>
      </c>
      <c r="Y18" s="651">
        <f t="shared" si="0"/>
        <v>10</v>
      </c>
      <c r="Z18" s="651">
        <f t="shared" si="0"/>
        <v>11</v>
      </c>
      <c r="AA18" s="651">
        <f t="shared" si="0"/>
        <v>12</v>
      </c>
      <c r="AB18" s="651">
        <f t="shared" si="0"/>
        <v>13</v>
      </c>
      <c r="AC18" s="651">
        <f t="shared" si="0"/>
        <v>14</v>
      </c>
      <c r="AD18" s="651">
        <f t="shared" si="0"/>
        <v>15</v>
      </c>
      <c r="AE18" s="651">
        <f t="shared" si="0"/>
        <v>16</v>
      </c>
      <c r="AF18" s="651">
        <f t="shared" si="0"/>
        <v>17</v>
      </c>
      <c r="AG18" s="651">
        <f t="shared" si="0"/>
        <v>18</v>
      </c>
      <c r="AH18" s="651">
        <f t="shared" si="0"/>
        <v>19</v>
      </c>
      <c r="AI18" s="652">
        <f t="shared" si="0"/>
        <v>20</v>
      </c>
    </row>
    <row r="19" spans="3:36" ht="15.45" thickTop="1" thickBot="1">
      <c r="D19" s="2427" t="s">
        <v>939</v>
      </c>
      <c r="E19" s="2430" t="s">
        <v>940</v>
      </c>
      <c r="F19" s="2431"/>
      <c r="G19" s="2431"/>
      <c r="H19" s="2431"/>
      <c r="I19" s="2432"/>
      <c r="J19" s="524"/>
      <c r="K19" s="106"/>
      <c r="L19" s="592"/>
      <c r="M19" s="592"/>
      <c r="N19" s="592"/>
      <c r="O19" s="592"/>
      <c r="P19" s="592"/>
      <c r="Q19" s="592"/>
      <c r="R19" s="592"/>
      <c r="S19" s="592"/>
      <c r="T19" s="592"/>
      <c r="U19" s="592"/>
      <c r="V19" s="592"/>
    </row>
    <row r="20" spans="3:36" ht="19.3" thickTop="1" thickBot="1">
      <c r="D20" s="2428"/>
      <c r="E20" s="2433"/>
      <c r="F20" s="2434"/>
      <c r="G20" s="2434"/>
      <c r="H20" s="2434"/>
      <c r="I20" s="2435"/>
      <c r="J20" s="524"/>
      <c r="K20" s="106"/>
      <c r="L20" s="41" t="s">
        <v>131</v>
      </c>
      <c r="M20" s="42">
        <v>3</v>
      </c>
      <c r="N20" s="592"/>
      <c r="O20" s="592"/>
      <c r="P20" s="641">
        <v>0</v>
      </c>
      <c r="Q20" s="642">
        <v>1</v>
      </c>
      <c r="R20" s="649">
        <v>2</v>
      </c>
      <c r="S20" s="643">
        <v>3</v>
      </c>
      <c r="T20" s="642">
        <v>4</v>
      </c>
      <c r="U20" s="644">
        <v>5</v>
      </c>
      <c r="V20" s="592"/>
      <c r="W20" s="592"/>
      <c r="X20" s="592"/>
      <c r="Y20" s="592"/>
      <c r="Z20" s="592"/>
      <c r="AA20" s="592"/>
      <c r="AB20" s="592"/>
      <c r="AC20" s="592"/>
      <c r="AD20" s="592"/>
      <c r="AE20" s="592"/>
      <c r="AF20" s="592"/>
    </row>
    <row r="21" spans="3:36" ht="19.3" thickTop="1" thickBot="1">
      <c r="D21" s="2428"/>
      <c r="E21" s="716" t="s">
        <v>131</v>
      </c>
      <c r="F21" s="704" t="s">
        <v>130</v>
      </c>
      <c r="G21" s="704" t="s">
        <v>129</v>
      </c>
      <c r="H21" s="704" t="s">
        <v>128</v>
      </c>
      <c r="I21" s="705" t="s">
        <v>145</v>
      </c>
      <c r="J21" s="524"/>
      <c r="K21" s="106"/>
      <c r="L21" s="40" t="s">
        <v>130</v>
      </c>
      <c r="M21" s="20">
        <v>13</v>
      </c>
      <c r="N21" s="592"/>
      <c r="O21" s="592"/>
      <c r="P21" s="641">
        <v>5</v>
      </c>
      <c r="Q21" s="642">
        <v>6</v>
      </c>
      <c r="R21" s="642">
        <v>7</v>
      </c>
      <c r="S21" s="642">
        <v>8</v>
      </c>
      <c r="T21" s="642">
        <v>9</v>
      </c>
      <c r="U21" s="642">
        <v>10</v>
      </c>
      <c r="V21" s="642">
        <v>11</v>
      </c>
      <c r="W21" s="649">
        <v>12</v>
      </c>
      <c r="X21" s="643">
        <v>13</v>
      </c>
      <c r="Y21" s="642">
        <v>14</v>
      </c>
      <c r="Z21" s="642">
        <v>15</v>
      </c>
      <c r="AA21" s="642">
        <v>16</v>
      </c>
      <c r="AB21" s="642">
        <v>17</v>
      </c>
      <c r="AC21" s="642">
        <v>18</v>
      </c>
      <c r="AD21" s="642">
        <v>19</v>
      </c>
      <c r="AE21" s="644">
        <v>20</v>
      </c>
      <c r="AF21" s="592"/>
      <c r="AG21" s="592"/>
      <c r="AH21" s="592"/>
      <c r="AI21" s="592"/>
      <c r="AJ21" s="592"/>
    </row>
    <row r="22" spans="3:36" ht="19.3" thickTop="1" thickBot="1">
      <c r="D22" s="2429"/>
      <c r="E22" s="700" t="s">
        <v>348</v>
      </c>
      <c r="F22" s="763" t="s">
        <v>238</v>
      </c>
      <c r="G22" s="701" t="s">
        <v>260</v>
      </c>
      <c r="H22" s="702" t="s">
        <v>261</v>
      </c>
      <c r="I22" s="703" t="s">
        <v>235</v>
      </c>
      <c r="J22" s="524"/>
      <c r="K22" s="106"/>
      <c r="L22" s="40" t="s">
        <v>129</v>
      </c>
      <c r="M22" s="20">
        <v>51</v>
      </c>
      <c r="N22" s="592"/>
      <c r="O22" s="592"/>
      <c r="P22" s="641" t="s">
        <v>1015</v>
      </c>
      <c r="Q22" s="642" t="s">
        <v>1016</v>
      </c>
      <c r="R22" s="642" t="s">
        <v>1017</v>
      </c>
      <c r="S22" s="642" t="s">
        <v>1018</v>
      </c>
      <c r="T22" s="642" t="s">
        <v>1019</v>
      </c>
      <c r="U22" s="642" t="s">
        <v>1020</v>
      </c>
      <c r="V22" s="642" t="s">
        <v>1021</v>
      </c>
      <c r="W22" s="642" t="s">
        <v>1022</v>
      </c>
      <c r="X22" s="642" t="s">
        <v>1023</v>
      </c>
      <c r="Y22" s="649" t="s">
        <v>1024</v>
      </c>
      <c r="Z22" s="649" t="s">
        <v>1034</v>
      </c>
      <c r="AA22" s="642" t="s">
        <v>1025</v>
      </c>
      <c r="AB22" s="642" t="s">
        <v>1026</v>
      </c>
      <c r="AC22" s="642" t="s">
        <v>1027</v>
      </c>
      <c r="AD22" s="642" t="s">
        <v>1028</v>
      </c>
      <c r="AE22" s="642" t="s">
        <v>1029</v>
      </c>
      <c r="AF22" s="642" t="s">
        <v>1030</v>
      </c>
      <c r="AG22" s="642" t="s">
        <v>1031</v>
      </c>
      <c r="AH22" s="642" t="s">
        <v>1032</v>
      </c>
      <c r="AI22" s="644" t="s">
        <v>1033</v>
      </c>
      <c r="AJ22" s="592"/>
    </row>
    <row r="23" spans="3:36" ht="19.3" thickTop="1" thickBot="1">
      <c r="C23" s="729" t="s">
        <v>145</v>
      </c>
      <c r="D23" s="767" t="s">
        <v>235</v>
      </c>
      <c r="E23" s="857" t="s">
        <v>238</v>
      </c>
      <c r="F23" s="605" t="s">
        <v>260</v>
      </c>
      <c r="G23" s="604" t="s">
        <v>261</v>
      </c>
      <c r="H23" s="603" t="s">
        <v>235</v>
      </c>
      <c r="I23" s="601" t="s">
        <v>235</v>
      </c>
      <c r="J23" s="6"/>
      <c r="K23" s="106"/>
      <c r="L23" s="40" t="s">
        <v>128</v>
      </c>
      <c r="M23" s="20">
        <v>88</v>
      </c>
      <c r="N23" s="592"/>
      <c r="O23" s="592"/>
      <c r="P23" s="645">
        <v>80</v>
      </c>
      <c r="Q23" s="646">
        <v>81</v>
      </c>
      <c r="R23" s="646">
        <v>82</v>
      </c>
      <c r="S23" s="646">
        <v>83</v>
      </c>
      <c r="T23" s="646">
        <v>84</v>
      </c>
      <c r="U23" s="646">
        <v>85</v>
      </c>
      <c r="V23" s="646">
        <v>86</v>
      </c>
      <c r="W23" s="646">
        <v>87</v>
      </c>
      <c r="X23" s="647">
        <v>88</v>
      </c>
      <c r="Y23" s="646">
        <v>89</v>
      </c>
      <c r="Z23" s="646">
        <v>90</v>
      </c>
      <c r="AA23" s="646">
        <v>91</v>
      </c>
      <c r="AB23" s="646">
        <v>92</v>
      </c>
      <c r="AC23" s="646">
        <v>93</v>
      </c>
      <c r="AD23" s="646">
        <v>94</v>
      </c>
      <c r="AE23" s="648">
        <v>95</v>
      </c>
      <c r="AF23" s="592"/>
      <c r="AG23" s="592"/>
      <c r="AH23" s="592"/>
      <c r="AI23" s="592"/>
      <c r="AJ23" s="592"/>
    </row>
    <row r="24" spans="3:36" ht="19.3" thickTop="1" thickBot="1">
      <c r="C24" s="730" t="s">
        <v>128</v>
      </c>
      <c r="D24" s="766" t="s">
        <v>261</v>
      </c>
      <c r="E24" s="610" t="s">
        <v>238</v>
      </c>
      <c r="F24" s="608" t="s">
        <v>260</v>
      </c>
      <c r="G24" s="608" t="s">
        <v>260</v>
      </c>
      <c r="H24" s="606" t="s">
        <v>261</v>
      </c>
      <c r="I24" s="602" t="s">
        <v>235</v>
      </c>
      <c r="J24" s="6"/>
      <c r="K24" s="106"/>
      <c r="L24" s="63" t="s">
        <v>145</v>
      </c>
      <c r="M24" s="4">
        <v>98</v>
      </c>
      <c r="N24" s="592"/>
      <c r="O24" s="592"/>
      <c r="P24" s="645">
        <v>96</v>
      </c>
      <c r="Q24" s="646">
        <v>97</v>
      </c>
      <c r="R24" s="647">
        <v>98</v>
      </c>
      <c r="S24" s="646">
        <v>99</v>
      </c>
      <c r="T24" s="648">
        <v>100</v>
      </c>
      <c r="U24" s="592"/>
      <c r="V24" s="592"/>
      <c r="W24" s="592"/>
      <c r="X24" s="592"/>
      <c r="Y24" s="592"/>
      <c r="Z24" s="592"/>
      <c r="AA24" s="592"/>
      <c r="AB24" s="592"/>
      <c r="AC24" s="592"/>
      <c r="AD24" s="592"/>
      <c r="AE24" s="592"/>
      <c r="AF24" s="592"/>
    </row>
    <row r="25" spans="3:36" ht="15.45" thickTop="1">
      <c r="C25" s="733" t="s">
        <v>129</v>
      </c>
      <c r="D25" s="765" t="s">
        <v>260</v>
      </c>
      <c r="E25" s="610" t="s">
        <v>238</v>
      </c>
      <c r="F25" s="611" t="s">
        <v>238</v>
      </c>
      <c r="G25" s="608" t="s">
        <v>260</v>
      </c>
      <c r="H25" s="608" t="s">
        <v>260</v>
      </c>
      <c r="I25" s="607" t="s">
        <v>261</v>
      </c>
      <c r="J25" s="6"/>
      <c r="K25" s="106"/>
      <c r="L25" s="592"/>
      <c r="M25" s="592"/>
      <c r="N25" s="592"/>
      <c r="O25" s="592"/>
      <c r="P25" s="592"/>
      <c r="Q25" s="592"/>
      <c r="R25" s="592"/>
      <c r="S25" s="592"/>
      <c r="T25" s="592"/>
      <c r="U25" s="592"/>
    </row>
    <row r="26" spans="3:36" ht="15">
      <c r="C26" s="731" t="s">
        <v>130</v>
      </c>
      <c r="D26" s="764" t="s">
        <v>238</v>
      </c>
      <c r="E26" s="614" t="s">
        <v>348</v>
      </c>
      <c r="F26" s="611" t="s">
        <v>238</v>
      </c>
      <c r="G26" s="611" t="s">
        <v>238</v>
      </c>
      <c r="H26" s="608" t="s">
        <v>260</v>
      </c>
      <c r="I26" s="600" t="s">
        <v>260</v>
      </c>
      <c r="J26" s="6"/>
      <c r="K26" s="106"/>
      <c r="L26" s="592"/>
      <c r="M26" s="592"/>
      <c r="N26" s="592"/>
      <c r="O26" s="592"/>
      <c r="P26" s="592"/>
      <c r="Q26" s="592"/>
      <c r="R26" s="592"/>
      <c r="S26" s="592"/>
      <c r="T26" s="592"/>
      <c r="U26" s="592"/>
    </row>
    <row r="27" spans="3:36" ht="15.45" thickBot="1">
      <c r="C27" s="732" t="s">
        <v>131</v>
      </c>
      <c r="D27" s="761" t="s">
        <v>348</v>
      </c>
      <c r="E27" s="615" t="s">
        <v>348</v>
      </c>
      <c r="F27" s="616" t="s">
        <v>348</v>
      </c>
      <c r="G27" s="612" t="s">
        <v>238</v>
      </c>
      <c r="H27" s="612" t="s">
        <v>238</v>
      </c>
      <c r="I27" s="613" t="s">
        <v>238</v>
      </c>
      <c r="J27" s="6"/>
      <c r="K27" s="106"/>
      <c r="L27" s="592"/>
      <c r="M27" s="592"/>
      <c r="N27" s="592"/>
      <c r="O27" s="592"/>
      <c r="P27" s="710"/>
      <c r="Q27" s="710"/>
      <c r="R27" s="710"/>
      <c r="S27" s="710"/>
      <c r="T27" s="710"/>
      <c r="U27" s="710"/>
      <c r="V27" s="710"/>
      <c r="W27" s="710"/>
      <c r="X27" s="592"/>
    </row>
    <row r="28" spans="3:36" ht="18.899999999999999" thickTop="1">
      <c r="K28" s="106"/>
      <c r="L28" s="716" t="s">
        <v>131</v>
      </c>
      <c r="M28" s="717">
        <v>3</v>
      </c>
      <c r="N28" s="718"/>
      <c r="O28" s="719"/>
      <c r="P28" s="488" t="s">
        <v>1046</v>
      </c>
      <c r="Q28" s="720"/>
      <c r="R28" s="721"/>
      <c r="S28" s="488" t="s">
        <v>1047</v>
      </c>
      <c r="T28" s="722"/>
      <c r="U28" s="411"/>
      <c r="V28" s="2422" t="s">
        <v>1057</v>
      </c>
      <c r="W28" s="2423"/>
      <c r="X28" s="592"/>
    </row>
    <row r="29" spans="3:36" ht="18.899999999999999" thickBot="1">
      <c r="C29" s="770" t="s">
        <v>1110</v>
      </c>
      <c r="D29" s="770" t="s">
        <v>1111</v>
      </c>
      <c r="E29" s="769" t="s">
        <v>1102</v>
      </c>
      <c r="F29" s="769" t="s">
        <v>1106</v>
      </c>
      <c r="G29" s="769" t="s">
        <v>1107</v>
      </c>
      <c r="H29" s="769" t="s">
        <v>1108</v>
      </c>
      <c r="I29" s="769" t="s">
        <v>1109</v>
      </c>
      <c r="K29" s="106"/>
      <c r="L29" s="711"/>
      <c r="M29" s="712"/>
      <c r="N29" s="707"/>
      <c r="O29" s="708"/>
      <c r="P29" s="707"/>
      <c r="Q29" s="713"/>
      <c r="R29" s="714"/>
      <c r="S29" s="707"/>
      <c r="T29" s="708"/>
      <c r="U29" s="715"/>
      <c r="V29" s="707"/>
      <c r="W29" s="708"/>
      <c r="X29" s="592"/>
    </row>
    <row r="30" spans="3:36" ht="18.899999999999999" thickTop="1">
      <c r="D30" s="2439" t="s">
        <v>939</v>
      </c>
      <c r="E30" s="2430" t="s">
        <v>940</v>
      </c>
      <c r="F30" s="2431"/>
      <c r="G30" s="2431"/>
      <c r="H30" s="2431"/>
      <c r="I30" s="2432"/>
      <c r="J30" s="524"/>
      <c r="K30" s="106"/>
      <c r="L30" s="704" t="s">
        <v>130</v>
      </c>
      <c r="M30" s="316">
        <v>13</v>
      </c>
      <c r="N30" s="477"/>
      <c r="O30" s="723"/>
      <c r="P30" s="2424" t="s">
        <v>1049</v>
      </c>
      <c r="Q30" s="2425"/>
      <c r="R30" s="358"/>
      <c r="S30" s="2424" t="s">
        <v>1054</v>
      </c>
      <c r="T30" s="2426"/>
      <c r="U30" s="341"/>
      <c r="V30" s="2420" t="s">
        <v>1055</v>
      </c>
      <c r="W30" s="2421"/>
      <c r="X30" s="592"/>
    </row>
    <row r="31" spans="3:36">
      <c r="D31" s="2440"/>
      <c r="E31" s="2433"/>
      <c r="F31" s="2434"/>
      <c r="G31" s="2434"/>
      <c r="H31" s="2434"/>
      <c r="I31" s="2435"/>
      <c r="J31" s="524"/>
      <c r="K31" s="106"/>
      <c r="L31" s="711"/>
      <c r="M31" s="712"/>
      <c r="N31" s="707"/>
      <c r="O31" s="708"/>
      <c r="P31" s="707"/>
      <c r="Q31" s="713"/>
      <c r="R31" s="714"/>
      <c r="S31" s="707"/>
      <c r="T31" s="708"/>
      <c r="U31" s="715"/>
      <c r="V31" s="707"/>
      <c r="W31" s="708"/>
      <c r="X31" s="592"/>
    </row>
    <row r="32" spans="3:36" ht="18.899999999999999" thickBot="1">
      <c r="D32" s="2440"/>
      <c r="E32" s="2442"/>
      <c r="F32" s="2443"/>
      <c r="G32" s="2443"/>
      <c r="H32" s="2443"/>
      <c r="I32" s="2444"/>
      <c r="J32" s="524"/>
      <c r="K32" s="106"/>
      <c r="L32" s="704" t="s">
        <v>129</v>
      </c>
      <c r="M32" s="316">
        <v>51</v>
      </c>
      <c r="N32" s="477"/>
      <c r="O32" s="723"/>
      <c r="P32" s="2424" t="s">
        <v>1050</v>
      </c>
      <c r="Q32" s="2425"/>
      <c r="R32" s="358"/>
      <c r="S32" s="2424" t="s">
        <v>1048</v>
      </c>
      <c r="T32" s="2426"/>
      <c r="U32" s="341"/>
      <c r="V32" s="477"/>
      <c r="W32" s="723"/>
      <c r="X32" s="592"/>
    </row>
    <row r="33" spans="3:31" ht="15.9" thickTop="1" thickBot="1">
      <c r="D33" s="2441"/>
      <c r="E33" s="716" t="s">
        <v>131</v>
      </c>
      <c r="F33" s="704" t="s">
        <v>130</v>
      </c>
      <c r="G33" s="704" t="s">
        <v>129</v>
      </c>
      <c r="H33" s="704" t="s">
        <v>128</v>
      </c>
      <c r="I33" s="705" t="s">
        <v>145</v>
      </c>
      <c r="J33" s="524"/>
      <c r="K33" s="106"/>
      <c r="L33" s="711"/>
      <c r="M33" s="712"/>
      <c r="N33" s="707"/>
      <c r="O33" s="708"/>
      <c r="P33" s="707"/>
      <c r="Q33" s="713"/>
      <c r="R33" s="714"/>
      <c r="S33" s="707"/>
      <c r="T33" s="708"/>
      <c r="U33" s="715"/>
      <c r="V33" s="707"/>
      <c r="W33" s="708"/>
      <c r="X33" s="592"/>
    </row>
    <row r="34" spans="3:31" ht="19.3" thickTop="1" thickBot="1">
      <c r="D34" s="758"/>
      <c r="E34" s="780" t="s">
        <v>348</v>
      </c>
      <c r="F34" s="781" t="s">
        <v>238</v>
      </c>
      <c r="G34" s="782" t="s">
        <v>260</v>
      </c>
      <c r="H34" s="783" t="s">
        <v>261</v>
      </c>
      <c r="I34" s="784" t="s">
        <v>235</v>
      </c>
      <c r="J34" s="524"/>
      <c r="K34" s="106"/>
      <c r="L34" s="704" t="s">
        <v>128</v>
      </c>
      <c r="M34" s="316">
        <v>88</v>
      </c>
      <c r="N34" s="477"/>
      <c r="O34" s="723"/>
      <c r="P34" s="2424" t="s">
        <v>1051</v>
      </c>
      <c r="Q34" s="2425"/>
      <c r="R34" s="358"/>
      <c r="S34" s="477"/>
      <c r="T34" s="723"/>
      <c r="U34" s="341"/>
      <c r="V34" s="477"/>
      <c r="W34" s="723"/>
      <c r="X34" s="592"/>
    </row>
    <row r="35" spans="3:31" ht="15.9" thickTop="1" thickBot="1">
      <c r="C35" s="729" t="s">
        <v>145</v>
      </c>
      <c r="D35" s="767" t="s">
        <v>235</v>
      </c>
      <c r="E35" s="856">
        <v>18</v>
      </c>
      <c r="F35" s="684">
        <v>67</v>
      </c>
      <c r="G35" s="685">
        <v>88</v>
      </c>
      <c r="H35" s="686">
        <v>97</v>
      </c>
      <c r="I35" s="687">
        <v>98</v>
      </c>
      <c r="J35" s="524"/>
      <c r="K35" s="106"/>
      <c r="L35" s="711"/>
      <c r="M35" s="712"/>
      <c r="N35" s="707"/>
      <c r="O35" s="708"/>
      <c r="P35" s="707"/>
      <c r="Q35" s="713"/>
      <c r="R35" s="714"/>
      <c r="S35" s="707"/>
      <c r="T35" s="708"/>
      <c r="U35" s="715"/>
      <c r="V35" s="707"/>
      <c r="W35" s="708"/>
      <c r="X35" s="592"/>
    </row>
    <row r="36" spans="3:31" ht="19.3" thickTop="1" thickBot="1">
      <c r="C36" s="730" t="s">
        <v>128</v>
      </c>
      <c r="D36" s="766" t="s">
        <v>261</v>
      </c>
      <c r="E36" s="688">
        <v>15</v>
      </c>
      <c r="F36" s="689">
        <v>51</v>
      </c>
      <c r="G36" s="689">
        <v>67</v>
      </c>
      <c r="H36" s="690">
        <v>88</v>
      </c>
      <c r="I36" s="691">
        <v>97</v>
      </c>
      <c r="J36" s="524"/>
      <c r="K36" s="106"/>
      <c r="L36" s="705" t="s">
        <v>145</v>
      </c>
      <c r="M36" s="706">
        <v>98</v>
      </c>
      <c r="N36" s="489"/>
      <c r="O36" s="724"/>
      <c r="P36" s="2418" t="s">
        <v>1053</v>
      </c>
      <c r="Q36" s="2436"/>
      <c r="R36" s="725"/>
      <c r="S36" s="2418" t="s">
        <v>1052</v>
      </c>
      <c r="T36" s="2419"/>
      <c r="U36" s="421"/>
      <c r="V36" s="726"/>
      <c r="W36" s="727"/>
      <c r="X36" s="592"/>
    </row>
    <row r="37" spans="3:31" ht="15.45" thickTop="1">
      <c r="C37" s="733" t="s">
        <v>129</v>
      </c>
      <c r="D37" s="765" t="s">
        <v>260</v>
      </c>
      <c r="E37" s="688">
        <v>13</v>
      </c>
      <c r="F37" s="692">
        <v>15</v>
      </c>
      <c r="G37" s="689">
        <v>51</v>
      </c>
      <c r="H37" s="689">
        <v>67</v>
      </c>
      <c r="I37" s="693">
        <v>88</v>
      </c>
      <c r="J37" s="524"/>
      <c r="K37" s="106"/>
      <c r="L37" s="592"/>
      <c r="M37" s="592"/>
      <c r="N37" s="592"/>
      <c r="O37" s="592"/>
      <c r="P37" s="709"/>
      <c r="Q37" s="709"/>
      <c r="R37" s="709"/>
      <c r="S37" s="709"/>
      <c r="T37" s="709"/>
      <c r="U37" s="709"/>
      <c r="V37" s="709"/>
      <c r="W37" s="709"/>
      <c r="X37" s="592"/>
    </row>
    <row r="38" spans="3:31" ht="15">
      <c r="C38" s="731" t="s">
        <v>130</v>
      </c>
      <c r="D38" s="764" t="s">
        <v>238</v>
      </c>
      <c r="E38" s="694">
        <v>2</v>
      </c>
      <c r="F38" s="692">
        <v>13</v>
      </c>
      <c r="G38" s="692">
        <v>15</v>
      </c>
      <c r="H38" s="689">
        <v>51</v>
      </c>
      <c r="I38" s="695">
        <v>67</v>
      </c>
      <c r="J38" s="524"/>
      <c r="K38" s="106"/>
      <c r="L38" s="592"/>
      <c r="M38" s="592"/>
      <c r="N38" s="592"/>
      <c r="O38" s="592"/>
      <c r="P38" s="592"/>
      <c r="Q38" s="592"/>
      <c r="R38" s="592"/>
      <c r="S38" s="592"/>
      <c r="T38" s="592"/>
      <c r="U38" s="592"/>
      <c r="V38" s="592"/>
      <c r="W38" s="592"/>
      <c r="X38" s="592"/>
    </row>
    <row r="39" spans="3:31" ht="15.45" thickBot="1">
      <c r="C39" s="732" t="s">
        <v>131</v>
      </c>
      <c r="D39" s="761" t="s">
        <v>348</v>
      </c>
      <c r="E39" s="696">
        <v>1</v>
      </c>
      <c r="F39" s="697">
        <v>2</v>
      </c>
      <c r="G39" s="698">
        <v>13</v>
      </c>
      <c r="H39" s="698">
        <v>15</v>
      </c>
      <c r="I39" s="699">
        <v>18</v>
      </c>
      <c r="K39" s="592"/>
      <c r="L39" s="592"/>
      <c r="M39" s="592"/>
      <c r="N39" s="592"/>
      <c r="O39" s="592"/>
      <c r="P39" s="592"/>
      <c r="Q39" s="592"/>
      <c r="R39" s="592"/>
      <c r="S39" s="592"/>
      <c r="T39" s="592"/>
      <c r="U39" s="592"/>
      <c r="V39" s="592"/>
      <c r="W39" s="592"/>
      <c r="X39" s="592"/>
      <c r="Y39" s="592"/>
      <c r="Z39" s="592"/>
      <c r="AA39" s="592"/>
      <c r="AB39" s="592"/>
      <c r="AC39" s="592"/>
      <c r="AD39" s="592"/>
      <c r="AE39" s="592"/>
    </row>
    <row r="40" spans="3:31" ht="15.45" thickTop="1" thickBot="1">
      <c r="K40" s="592"/>
      <c r="L40" s="592"/>
      <c r="M40" s="592"/>
      <c r="N40" s="667" t="s">
        <v>348</v>
      </c>
      <c r="O40" s="668" t="s">
        <v>238</v>
      </c>
      <c r="P40" s="668" t="s">
        <v>260</v>
      </c>
      <c r="Q40" s="668" t="s">
        <v>261</v>
      </c>
      <c r="R40" s="669" t="s">
        <v>235</v>
      </c>
      <c r="S40" s="592"/>
      <c r="T40" s="667" t="s">
        <v>348</v>
      </c>
      <c r="U40" s="668" t="s">
        <v>238</v>
      </c>
      <c r="V40" s="668" t="s">
        <v>260</v>
      </c>
      <c r="W40" s="668" t="s">
        <v>261</v>
      </c>
      <c r="X40" s="669" t="s">
        <v>235</v>
      </c>
      <c r="Y40" s="592"/>
      <c r="Z40" s="667" t="s">
        <v>348</v>
      </c>
      <c r="AA40" s="668" t="s">
        <v>238</v>
      </c>
      <c r="AB40" s="668" t="s">
        <v>260</v>
      </c>
      <c r="AC40" s="668" t="s">
        <v>261</v>
      </c>
      <c r="AD40" s="669" t="s">
        <v>235</v>
      </c>
      <c r="AE40" s="592"/>
    </row>
    <row r="41" spans="3:31" ht="19.3" thickTop="1" thickBot="1">
      <c r="F41"/>
      <c r="G41"/>
      <c r="H41"/>
      <c r="I41"/>
      <c r="J41"/>
      <c r="K41" s="592"/>
      <c r="L41" s="592"/>
      <c r="M41" s="682" t="s">
        <v>1056</v>
      </c>
      <c r="N41" s="680">
        <v>1</v>
      </c>
      <c r="O41" s="673">
        <v>2</v>
      </c>
      <c r="P41" s="673">
        <v>3</v>
      </c>
      <c r="Q41" s="673">
        <v>4</v>
      </c>
      <c r="R41" s="673">
        <v>5</v>
      </c>
      <c r="S41" s="728"/>
      <c r="T41" s="673">
        <v>1</v>
      </c>
      <c r="U41" s="673">
        <v>2</v>
      </c>
      <c r="V41" s="673">
        <v>3</v>
      </c>
      <c r="W41" s="673">
        <v>4</v>
      </c>
      <c r="X41" s="675">
        <v>5</v>
      </c>
      <c r="Y41" s="592"/>
      <c r="Z41" s="673">
        <v>1</v>
      </c>
      <c r="AA41" s="673">
        <v>2</v>
      </c>
      <c r="AB41" s="673">
        <v>3</v>
      </c>
      <c r="AC41" s="673">
        <v>4</v>
      </c>
      <c r="AD41" s="673">
        <v>5</v>
      </c>
      <c r="AE41" s="592"/>
    </row>
    <row r="42" spans="3:31" ht="19.3" thickTop="1" thickBot="1">
      <c r="C42" s="770" t="s">
        <v>1110</v>
      </c>
      <c r="D42" s="770" t="s">
        <v>1111</v>
      </c>
      <c r="E42" s="769" t="s">
        <v>1102</v>
      </c>
      <c r="F42" s="769" t="s">
        <v>1106</v>
      </c>
      <c r="G42" s="769" t="s">
        <v>1107</v>
      </c>
      <c r="H42" s="769" t="s">
        <v>1108</v>
      </c>
      <c r="I42" s="769" t="s">
        <v>1109</v>
      </c>
      <c r="J42"/>
      <c r="K42" s="592"/>
      <c r="L42" s="160" t="s">
        <v>235</v>
      </c>
      <c r="M42" s="681">
        <v>5</v>
      </c>
      <c r="N42" s="658" t="s">
        <v>1035</v>
      </c>
      <c r="O42" s="676" t="s">
        <v>1040</v>
      </c>
      <c r="P42" s="659" t="s">
        <v>1041</v>
      </c>
      <c r="Q42" s="653" t="s">
        <v>1042</v>
      </c>
      <c r="R42" s="666" t="s">
        <v>1043</v>
      </c>
      <c r="S42" s="670" t="s">
        <v>235</v>
      </c>
      <c r="T42" s="609" t="s">
        <v>238</v>
      </c>
      <c r="U42" s="605" t="s">
        <v>260</v>
      </c>
      <c r="V42" s="604" t="s">
        <v>261</v>
      </c>
      <c r="W42" s="603" t="s">
        <v>235</v>
      </c>
      <c r="X42" s="601" t="s">
        <v>235</v>
      </c>
      <c r="Y42" s="674">
        <v>5</v>
      </c>
      <c r="Z42" s="683">
        <v>18</v>
      </c>
      <c r="AA42" s="684">
        <v>67</v>
      </c>
      <c r="AB42" s="685">
        <v>88</v>
      </c>
      <c r="AC42" s="686">
        <v>97</v>
      </c>
      <c r="AD42" s="687">
        <v>98</v>
      </c>
      <c r="AE42" s="592"/>
    </row>
    <row r="43" spans="3:31" ht="20.25" customHeight="1" thickTop="1">
      <c r="C43" s="753" t="s">
        <v>1084</v>
      </c>
      <c r="D43" s="2427" t="s">
        <v>939</v>
      </c>
      <c r="E43" s="2430" t="s">
        <v>940</v>
      </c>
      <c r="F43" s="2431"/>
      <c r="G43" s="2431"/>
      <c r="H43" s="2431"/>
      <c r="I43" s="2432"/>
      <c r="J43"/>
      <c r="K43" s="592"/>
      <c r="L43" s="597" t="s">
        <v>261</v>
      </c>
      <c r="M43" s="674">
        <v>4</v>
      </c>
      <c r="N43" s="654" t="s">
        <v>1036</v>
      </c>
      <c r="O43" s="677" t="s">
        <v>1039</v>
      </c>
      <c r="P43" s="677" t="s">
        <v>1040</v>
      </c>
      <c r="Q43" s="660" t="s">
        <v>1041</v>
      </c>
      <c r="R43" s="656" t="s">
        <v>1044</v>
      </c>
      <c r="S43" s="671" t="s">
        <v>261</v>
      </c>
      <c r="T43" s="610" t="s">
        <v>238</v>
      </c>
      <c r="U43" s="608" t="s">
        <v>260</v>
      </c>
      <c r="V43" s="608" t="s">
        <v>260</v>
      </c>
      <c r="W43" s="606" t="s">
        <v>261</v>
      </c>
      <c r="X43" s="602" t="s">
        <v>235</v>
      </c>
      <c r="Y43" s="674">
        <v>4</v>
      </c>
      <c r="Z43" s="688">
        <v>15</v>
      </c>
      <c r="AA43" s="689">
        <v>51</v>
      </c>
      <c r="AB43" s="689">
        <v>67</v>
      </c>
      <c r="AC43" s="690">
        <v>88</v>
      </c>
      <c r="AD43" s="691">
        <v>97</v>
      </c>
      <c r="AE43" s="592"/>
    </row>
    <row r="44" spans="3:31" ht="15" thickBot="1">
      <c r="D44" s="2428"/>
      <c r="E44" s="2433"/>
      <c r="F44" s="2434"/>
      <c r="G44" s="2434"/>
      <c r="H44" s="2434"/>
      <c r="I44" s="2435"/>
      <c r="J44"/>
      <c r="K44" s="592"/>
      <c r="L44" s="597" t="s">
        <v>260</v>
      </c>
      <c r="M44" s="674">
        <v>3</v>
      </c>
      <c r="N44" s="662" t="s">
        <v>1037</v>
      </c>
      <c r="O44" s="655" t="s">
        <v>1036</v>
      </c>
      <c r="P44" s="677" t="s">
        <v>1039</v>
      </c>
      <c r="Q44" s="677" t="s">
        <v>1040</v>
      </c>
      <c r="R44" s="661" t="s">
        <v>1041</v>
      </c>
      <c r="S44" s="671" t="s">
        <v>260</v>
      </c>
      <c r="T44" s="610" t="s">
        <v>238</v>
      </c>
      <c r="U44" s="611" t="s">
        <v>238</v>
      </c>
      <c r="V44" s="608" t="s">
        <v>260</v>
      </c>
      <c r="W44" s="608" t="s">
        <v>260</v>
      </c>
      <c r="X44" s="607" t="s">
        <v>261</v>
      </c>
      <c r="Y44" s="674">
        <v>3</v>
      </c>
      <c r="Z44" s="688">
        <v>13</v>
      </c>
      <c r="AA44" s="692">
        <v>15</v>
      </c>
      <c r="AB44" s="689">
        <v>51</v>
      </c>
      <c r="AC44" s="689">
        <v>67</v>
      </c>
      <c r="AD44" s="693">
        <v>88</v>
      </c>
      <c r="AE44" s="592"/>
    </row>
    <row r="45" spans="3:31" ht="15.9" thickTop="1" thickBot="1">
      <c r="D45" s="2428"/>
      <c r="E45" s="716" t="s">
        <v>131</v>
      </c>
      <c r="F45" s="704" t="s">
        <v>130</v>
      </c>
      <c r="G45" s="704" t="s">
        <v>129</v>
      </c>
      <c r="H45" s="704" t="s">
        <v>128</v>
      </c>
      <c r="I45" s="705" t="s">
        <v>145</v>
      </c>
      <c r="J45"/>
      <c r="K45" s="592"/>
      <c r="L45" s="597" t="s">
        <v>238</v>
      </c>
      <c r="M45" s="674">
        <v>2</v>
      </c>
      <c r="N45" s="654" t="s">
        <v>1038</v>
      </c>
      <c r="O45" s="663" t="s">
        <v>1037</v>
      </c>
      <c r="P45" s="655" t="s">
        <v>1036</v>
      </c>
      <c r="Q45" s="677" t="s">
        <v>1039</v>
      </c>
      <c r="R45" s="678" t="s">
        <v>1040</v>
      </c>
      <c r="S45" s="671" t="s">
        <v>238</v>
      </c>
      <c r="T45" s="614" t="s">
        <v>348</v>
      </c>
      <c r="U45" s="611" t="s">
        <v>238</v>
      </c>
      <c r="V45" s="611" t="s">
        <v>238</v>
      </c>
      <c r="W45" s="608" t="s">
        <v>260</v>
      </c>
      <c r="X45" s="600" t="s">
        <v>260</v>
      </c>
      <c r="Y45" s="674">
        <v>2</v>
      </c>
      <c r="Z45" s="694">
        <v>2</v>
      </c>
      <c r="AA45" s="692">
        <v>13</v>
      </c>
      <c r="AB45" s="692">
        <v>15</v>
      </c>
      <c r="AC45" s="689">
        <v>51</v>
      </c>
      <c r="AD45" s="695">
        <v>67</v>
      </c>
      <c r="AE45" s="592"/>
    </row>
    <row r="46" spans="3:31" ht="15.45" thickTop="1" thickBot="1">
      <c r="D46" s="2429"/>
      <c r="E46" s="599" t="s">
        <v>348</v>
      </c>
      <c r="F46" s="484" t="s">
        <v>238</v>
      </c>
      <c r="G46" s="484" t="s">
        <v>260</v>
      </c>
      <c r="H46" s="484" t="s">
        <v>261</v>
      </c>
      <c r="I46" s="485" t="s">
        <v>235</v>
      </c>
      <c r="J46"/>
      <c r="K46" s="592"/>
      <c r="L46" s="598" t="s">
        <v>348</v>
      </c>
      <c r="M46" s="674">
        <v>1</v>
      </c>
      <c r="N46" s="665" t="s">
        <v>1045</v>
      </c>
      <c r="O46" s="657" t="s">
        <v>1038</v>
      </c>
      <c r="P46" s="664" t="s">
        <v>1037</v>
      </c>
      <c r="Q46" s="657" t="s">
        <v>1036</v>
      </c>
      <c r="R46" s="679" t="s">
        <v>1035</v>
      </c>
      <c r="S46" s="672" t="s">
        <v>348</v>
      </c>
      <c r="T46" s="615" t="s">
        <v>348</v>
      </c>
      <c r="U46" s="616" t="s">
        <v>348</v>
      </c>
      <c r="V46" s="612" t="s">
        <v>238</v>
      </c>
      <c r="W46" s="612" t="s">
        <v>238</v>
      </c>
      <c r="X46" s="613" t="s">
        <v>238</v>
      </c>
      <c r="Y46" s="674">
        <v>1</v>
      </c>
      <c r="Z46" s="696">
        <v>1</v>
      </c>
      <c r="AA46" s="697">
        <v>2</v>
      </c>
      <c r="AB46" s="698">
        <v>13</v>
      </c>
      <c r="AC46" s="698">
        <v>15</v>
      </c>
      <c r="AD46" s="699">
        <v>18</v>
      </c>
      <c r="AE46" s="592"/>
    </row>
    <row r="47" spans="3:31" ht="15.9" thickTop="1" thickBot="1">
      <c r="C47" s="705" t="s">
        <v>145</v>
      </c>
      <c r="D47" s="160" t="s">
        <v>235</v>
      </c>
      <c r="E47" s="740"/>
      <c r="F47" s="741"/>
      <c r="G47" s="684"/>
      <c r="H47" s="685"/>
      <c r="I47" s="687"/>
      <c r="J47"/>
      <c r="K47" s="106"/>
      <c r="L47" s="592"/>
      <c r="M47" s="592"/>
      <c r="N47" s="592"/>
      <c r="O47" s="592"/>
      <c r="P47" s="592"/>
      <c r="Q47" s="592"/>
      <c r="R47" s="592"/>
      <c r="S47" s="592"/>
      <c r="T47" s="592"/>
      <c r="U47" s="592"/>
      <c r="V47" s="592"/>
      <c r="W47" s="592"/>
      <c r="X47" s="592"/>
      <c r="Y47" s="592"/>
      <c r="Z47" s="592"/>
      <c r="AA47" s="592"/>
      <c r="AB47" s="592"/>
      <c r="AC47" s="592"/>
      <c r="AD47" s="592"/>
      <c r="AE47" s="592"/>
    </row>
    <row r="48" spans="3:31" ht="15.45" thickTop="1">
      <c r="C48" s="704" t="s">
        <v>128</v>
      </c>
      <c r="D48" s="597" t="s">
        <v>261</v>
      </c>
      <c r="E48" s="694"/>
      <c r="F48" s="692"/>
      <c r="G48" s="689"/>
      <c r="H48" s="690"/>
      <c r="I48" s="691"/>
      <c r="J48"/>
    </row>
    <row r="49" spans="3:11" ht="15">
      <c r="C49" s="704" t="s">
        <v>129</v>
      </c>
      <c r="D49" s="597" t="s">
        <v>260</v>
      </c>
      <c r="E49" s="694"/>
      <c r="F49" s="692"/>
      <c r="G49" s="689"/>
      <c r="H49" s="689"/>
      <c r="I49" s="693"/>
    </row>
    <row r="50" spans="3:11" ht="15.45" thickBot="1">
      <c r="C50" s="704" t="s">
        <v>130</v>
      </c>
      <c r="D50" s="597" t="s">
        <v>238</v>
      </c>
      <c r="E50" s="694"/>
      <c r="F50" s="692"/>
      <c r="G50" s="692"/>
      <c r="H50" s="692"/>
      <c r="I50" s="695"/>
    </row>
    <row r="51" spans="3:11" ht="15.9" thickTop="1" thickBot="1">
      <c r="C51" s="716" t="s">
        <v>131</v>
      </c>
      <c r="D51" s="598" t="s">
        <v>348</v>
      </c>
      <c r="E51" s="696"/>
      <c r="F51" s="697"/>
      <c r="G51" s="697"/>
      <c r="H51" s="698"/>
      <c r="I51" s="699"/>
      <c r="K51"/>
    </row>
    <row r="52" spans="3:11" ht="15" thickTop="1">
      <c r="K52"/>
    </row>
    <row r="53" spans="3:11">
      <c r="F53"/>
      <c r="G53"/>
      <c r="H53"/>
      <c r="I53"/>
      <c r="J53"/>
      <c r="K53"/>
    </row>
    <row r="54" spans="3:11">
      <c r="F54"/>
      <c r="G54"/>
      <c r="H54"/>
      <c r="I54"/>
      <c r="J54"/>
      <c r="K54"/>
    </row>
    <row r="55" spans="3:11">
      <c r="F55"/>
      <c r="G55"/>
      <c r="H55"/>
      <c r="I55"/>
      <c r="J55"/>
      <c r="K55"/>
    </row>
    <row r="56" spans="3:11">
      <c r="F56"/>
      <c r="G56"/>
      <c r="H56"/>
      <c r="I56"/>
      <c r="J56"/>
      <c r="K56"/>
    </row>
    <row r="57" spans="3:11">
      <c r="F57"/>
      <c r="G57"/>
      <c r="H57"/>
      <c r="I57"/>
      <c r="J57"/>
      <c r="K57"/>
    </row>
    <row r="58" spans="3:11">
      <c r="F58"/>
      <c r="G58"/>
      <c r="H58"/>
      <c r="I58"/>
      <c r="J58"/>
      <c r="K58"/>
    </row>
    <row r="59" spans="3:11">
      <c r="F59"/>
      <c r="G59"/>
      <c r="H59"/>
      <c r="I59"/>
      <c r="J59"/>
      <c r="K59"/>
    </row>
    <row r="60" spans="3:11">
      <c r="F60"/>
      <c r="G60"/>
      <c r="H60"/>
      <c r="I60"/>
      <c r="J60"/>
      <c r="K60"/>
    </row>
    <row r="61" spans="3:11">
      <c r="F61"/>
      <c r="G61"/>
      <c r="H61"/>
      <c r="I61"/>
      <c r="J61"/>
      <c r="K61"/>
    </row>
    <row r="62" spans="3:11">
      <c r="F62"/>
      <c r="G62"/>
      <c r="H62"/>
      <c r="I62"/>
      <c r="J62"/>
      <c r="K62"/>
    </row>
    <row r="63" spans="3:11">
      <c r="F63"/>
      <c r="G63"/>
      <c r="H63"/>
      <c r="I63"/>
      <c r="J63"/>
      <c r="K63"/>
    </row>
    <row r="64" spans="3:11">
      <c r="F64"/>
      <c r="G64"/>
      <c r="H64"/>
      <c r="I64"/>
      <c r="J64"/>
      <c r="K64"/>
    </row>
    <row r="65" customFormat="1"/>
    <row r="66" customFormat="1"/>
    <row r="67" customFormat="1"/>
    <row r="68" customFormat="1"/>
    <row r="69" customFormat="1"/>
    <row r="70" customFormat="1"/>
    <row r="71" customFormat="1"/>
    <row r="72" customFormat="1"/>
    <row r="73" customFormat="1"/>
    <row r="74" customFormat="1"/>
    <row r="75" customFormat="1"/>
    <row r="76" customFormat="1"/>
    <row r="77" customFormat="1"/>
    <row r="78" customFormat="1"/>
    <row r="79" customFormat="1"/>
    <row r="80" customFormat="1"/>
    <row r="81" customFormat="1"/>
    <row r="82" customFormat="1"/>
    <row r="83" customFormat="1"/>
    <row r="84" customFormat="1"/>
    <row r="85" customFormat="1"/>
    <row r="86" customFormat="1"/>
    <row r="87" customFormat="1"/>
    <row r="88" customFormat="1"/>
    <row r="89" customFormat="1"/>
    <row r="90" customFormat="1"/>
    <row r="91" customFormat="1"/>
    <row r="92" customFormat="1"/>
    <row r="93" customFormat="1"/>
    <row r="94" customFormat="1"/>
    <row r="95" customFormat="1"/>
    <row r="96" customFormat="1"/>
    <row r="97" spans="6:32">
      <c r="F97"/>
      <c r="G97"/>
      <c r="H97"/>
      <c r="I97"/>
      <c r="J97"/>
      <c r="K97"/>
    </row>
    <row r="98" spans="6:32">
      <c r="F98"/>
      <c r="G98"/>
      <c r="H98"/>
      <c r="I98"/>
      <c r="J98"/>
      <c r="K98"/>
    </row>
    <row r="99" spans="6:32">
      <c r="F99"/>
      <c r="G99"/>
      <c r="H99"/>
      <c r="I99"/>
      <c r="J99"/>
      <c r="K99"/>
    </row>
    <row r="100" spans="6:32">
      <c r="F100"/>
      <c r="G100"/>
      <c r="H100"/>
      <c r="I100"/>
      <c r="J100"/>
      <c r="K100"/>
    </row>
    <row r="101" spans="6:32">
      <c r="F101"/>
      <c r="G101"/>
      <c r="H101"/>
      <c r="I101"/>
      <c r="J101"/>
      <c r="K101"/>
    </row>
    <row r="102" spans="6:32">
      <c r="F102"/>
      <c r="G102"/>
      <c r="H102"/>
      <c r="I102"/>
      <c r="J102"/>
      <c r="K102"/>
    </row>
    <row r="103" spans="6:32">
      <c r="F103"/>
      <c r="G103"/>
      <c r="H103"/>
      <c r="I103"/>
      <c r="J103"/>
      <c r="K103"/>
    </row>
    <row r="104" spans="6:32">
      <c r="F104"/>
      <c r="G104"/>
      <c r="H104"/>
      <c r="I104"/>
      <c r="J104"/>
      <c r="K104"/>
    </row>
    <row r="105" spans="6:32">
      <c r="F105"/>
      <c r="G105"/>
      <c r="H105"/>
      <c r="I105"/>
      <c r="J105"/>
      <c r="K105"/>
    </row>
    <row r="106" spans="6:32">
      <c r="F106"/>
      <c r="G106"/>
      <c r="H106"/>
      <c r="I106"/>
      <c r="J106"/>
      <c r="K106"/>
    </row>
    <row r="107" spans="6:32">
      <c r="F107"/>
      <c r="G107"/>
      <c r="H107"/>
      <c r="I107"/>
      <c r="J107"/>
      <c r="K107"/>
      <c r="AF107" t="s">
        <v>262</v>
      </c>
    </row>
    <row r="108" spans="6:32">
      <c r="F108"/>
      <c r="G108"/>
      <c r="H108"/>
      <c r="I108"/>
      <c r="J108"/>
      <c r="K108"/>
    </row>
    <row r="109" spans="6:32">
      <c r="F109"/>
      <c r="G109"/>
      <c r="H109"/>
      <c r="I109"/>
      <c r="J109"/>
      <c r="K109"/>
    </row>
    <row r="110" spans="6:32">
      <c r="F110"/>
      <c r="G110"/>
      <c r="H110"/>
      <c r="I110"/>
      <c r="J110"/>
      <c r="K110"/>
    </row>
    <row r="111" spans="6:32">
      <c r="F111"/>
      <c r="G111"/>
      <c r="H111"/>
      <c r="I111"/>
      <c r="J111"/>
      <c r="K111"/>
    </row>
    <row r="112" spans="6:32">
      <c r="F112"/>
      <c r="G112"/>
      <c r="H112"/>
      <c r="I112"/>
      <c r="J112"/>
      <c r="K112"/>
    </row>
    <row r="113" spans="6:11">
      <c r="F113"/>
      <c r="G113"/>
      <c r="H113"/>
      <c r="I113"/>
      <c r="J113"/>
      <c r="K113"/>
    </row>
    <row r="114" spans="6:11">
      <c r="F114"/>
      <c r="G114"/>
      <c r="H114"/>
      <c r="I114"/>
      <c r="J114"/>
      <c r="K114"/>
    </row>
    <row r="115" spans="6:11">
      <c r="F115"/>
      <c r="G115"/>
      <c r="H115"/>
      <c r="I115"/>
      <c r="J115"/>
      <c r="K115"/>
    </row>
    <row r="116" spans="6:11">
      <c r="F116"/>
      <c r="G116"/>
      <c r="H116"/>
      <c r="I116"/>
      <c r="J116"/>
      <c r="K116"/>
    </row>
    <row r="117" spans="6:11">
      <c r="F117"/>
      <c r="G117"/>
      <c r="H117"/>
      <c r="I117"/>
      <c r="J117"/>
    </row>
    <row r="118" spans="6:11">
      <c r="F118"/>
      <c r="G118"/>
      <c r="H118"/>
      <c r="I118"/>
      <c r="J118"/>
    </row>
  </sheetData>
  <mergeCells count="19">
    <mergeCell ref="J7:P7"/>
    <mergeCell ref="J8:P8"/>
    <mergeCell ref="J9:P9"/>
    <mergeCell ref="J10:Z10"/>
    <mergeCell ref="D30:D33"/>
    <mergeCell ref="E30:I32"/>
    <mergeCell ref="D43:D46"/>
    <mergeCell ref="E19:I20"/>
    <mergeCell ref="E43:I44"/>
    <mergeCell ref="D19:D22"/>
    <mergeCell ref="P36:Q36"/>
    <mergeCell ref="S36:T36"/>
    <mergeCell ref="V30:W30"/>
    <mergeCell ref="V28:W28"/>
    <mergeCell ref="P30:Q30"/>
    <mergeCell ref="S30:T30"/>
    <mergeCell ref="S32:T32"/>
    <mergeCell ref="P32:Q32"/>
    <mergeCell ref="P34:Q34"/>
  </mergeCells>
  <dataValidations count="2">
    <dataValidation type="list" allowBlank="1" showInputMessage="1" showErrorMessage="1" sqref="G14" xr:uid="{00000000-0002-0000-1D00-000000000000}">
      <formula1>$E$21:$I$21</formula1>
    </dataValidation>
    <dataValidation type="list" allowBlank="1" showInputMessage="1" showErrorMessage="1" sqref="E14" xr:uid="{00000000-0002-0000-1D00-000001000000}">
      <formula1>$C$23:$C$27</formula1>
    </dataValidation>
  </dataValidations>
  <hyperlinks>
    <hyperlink ref="M13" r:id="rId1" xr:uid="{00000000-0004-0000-1D00-000000000000}"/>
  </hyperlinks>
  <pageMargins left="0.7" right="0.7" top="0.75" bottom="0.75" header="0.3" footer="0.3"/>
  <pageSetup orientation="portrait" verticalDpi="0" r:id="rId2"/>
  <drawing r:id="rId3"/>
  <legacyDrawing r:id="rId4"/>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tabColor theme="4" tint="0.59999389629810485"/>
  </sheetPr>
  <dimension ref="A1:O124"/>
  <sheetViews>
    <sheetView workbookViewId="0">
      <selection activeCell="A5" sqref="A5"/>
    </sheetView>
  </sheetViews>
  <sheetFormatPr defaultRowHeight="14.6"/>
  <cols>
    <col min="1" max="3" width="28.69140625" customWidth="1"/>
    <col min="4" max="14" width="30.69140625" customWidth="1"/>
    <col min="15" max="34" width="28.69140625" customWidth="1"/>
  </cols>
  <sheetData>
    <row r="1" spans="4:14" ht="21" customHeight="1"/>
    <row r="2" spans="4:14" ht="21" customHeight="1"/>
    <row r="3" spans="4:14" ht="21" customHeight="1"/>
    <row r="4" spans="4:14" ht="21" customHeight="1"/>
    <row r="5" spans="4:14" ht="21" customHeight="1"/>
    <row r="6" spans="4:14" ht="21" customHeight="1"/>
    <row r="7" spans="4:14" ht="21" customHeight="1"/>
    <row r="8" spans="4:14" ht="21" customHeight="1"/>
    <row r="9" spans="4:14" ht="21" customHeight="1"/>
    <row r="10" spans="4:14" ht="21" customHeight="1"/>
    <row r="11" spans="4:14" ht="21" customHeight="1"/>
    <row r="12" spans="4:14" ht="21" customHeight="1"/>
    <row r="13" spans="4:14" ht="21" customHeight="1"/>
    <row r="14" spans="4:14" ht="21" customHeight="1"/>
    <row r="15" spans="4:14" ht="21" customHeight="1"/>
    <row r="16" spans="4:14" ht="21" customHeight="1" thickBot="1">
      <c r="D16" s="770" t="s">
        <v>1110</v>
      </c>
      <c r="E16" s="770" t="s">
        <v>1111</v>
      </c>
      <c r="F16" s="769" t="s">
        <v>1102</v>
      </c>
      <c r="G16" s="769"/>
      <c r="H16" s="769" t="s">
        <v>1106</v>
      </c>
      <c r="I16" s="769"/>
      <c r="J16" s="769" t="s">
        <v>1107</v>
      </c>
      <c r="K16" s="769"/>
      <c r="L16" s="769" t="s">
        <v>1108</v>
      </c>
      <c r="M16" s="769"/>
      <c r="N16" s="769" t="s">
        <v>1109</v>
      </c>
    </row>
    <row r="17" spans="1:15" ht="21" customHeight="1" thickTop="1" thickBot="1">
      <c r="A17" s="1076" t="s">
        <v>1348</v>
      </c>
      <c r="B17" s="1078">
        <v>18</v>
      </c>
      <c r="C17" s="1100">
        <f>AVERAGE(B17,B18)</f>
        <v>42.5</v>
      </c>
      <c r="E17" s="2439" t="s">
        <v>1315</v>
      </c>
      <c r="F17" s="2430" t="s">
        <v>1316</v>
      </c>
      <c r="G17" s="2431"/>
      <c r="H17" s="2431"/>
      <c r="I17" s="2431"/>
      <c r="J17" s="2431"/>
      <c r="K17" s="2431"/>
      <c r="L17" s="2431"/>
      <c r="M17" s="2431"/>
      <c r="N17" s="2432"/>
    </row>
    <row r="18" spans="1:15" ht="21" customHeight="1" thickTop="1" thickBot="1">
      <c r="A18" s="1076" t="s">
        <v>1349</v>
      </c>
      <c r="B18" s="1079">
        <v>67</v>
      </c>
      <c r="C18" s="1077" t="s">
        <v>1429</v>
      </c>
      <c r="E18" s="2440"/>
      <c r="F18" s="2433"/>
      <c r="G18" s="2434"/>
      <c r="H18" s="2434"/>
      <c r="I18" s="2434"/>
      <c r="J18" s="2434"/>
      <c r="K18" s="2434"/>
      <c r="L18" s="2434"/>
      <c r="M18" s="2434"/>
      <c r="N18" s="2435"/>
    </row>
    <row r="19" spans="1:15" ht="21" customHeight="1" thickTop="1" thickBot="1">
      <c r="E19" s="2440"/>
      <c r="F19" s="2442"/>
      <c r="G19" s="2443"/>
      <c r="H19" s="2443"/>
      <c r="I19" s="2443"/>
      <c r="J19" s="2443"/>
      <c r="K19" s="2443"/>
      <c r="L19" s="2443"/>
      <c r="M19" s="2443"/>
      <c r="N19" s="2444"/>
    </row>
    <row r="20" spans="1:15" ht="20.25" customHeight="1" thickTop="1" thickBot="1">
      <c r="A20" s="1083" t="s">
        <v>1401</v>
      </c>
      <c r="B20" s="1099">
        <v>42.5</v>
      </c>
      <c r="C20" s="573" t="s">
        <v>1392</v>
      </c>
      <c r="E20" s="2441"/>
      <c r="F20" s="716" t="s">
        <v>131</v>
      </c>
      <c r="G20" s="938"/>
      <c r="H20" s="704" t="s">
        <v>130</v>
      </c>
      <c r="I20" s="40"/>
      <c r="J20" s="704" t="s">
        <v>129</v>
      </c>
      <c r="K20" s="40"/>
      <c r="L20" s="704" t="s">
        <v>128</v>
      </c>
      <c r="M20" s="940"/>
      <c r="N20" s="705" t="s">
        <v>145</v>
      </c>
    </row>
    <row r="21" spans="1:15" ht="21" customHeight="1" thickTop="1" thickBot="1">
      <c r="E21" s="758"/>
      <c r="F21" s="1056" t="s">
        <v>1313</v>
      </c>
      <c r="G21" s="939">
        <v>5</v>
      </c>
      <c r="H21" s="1016" t="s">
        <v>1304</v>
      </c>
      <c r="I21" s="939">
        <v>21</v>
      </c>
      <c r="J21" s="1057" t="s">
        <v>1305</v>
      </c>
      <c r="K21" s="939">
        <v>80</v>
      </c>
      <c r="L21" s="1058" t="s">
        <v>1306</v>
      </c>
      <c r="M21" s="1043">
        <v>96</v>
      </c>
      <c r="N21" s="1059" t="s">
        <v>1307</v>
      </c>
    </row>
    <row r="22" spans="1:15" ht="21" thickBot="1">
      <c r="C22" s="1047"/>
      <c r="D22" s="1047"/>
      <c r="E22" s="1073"/>
      <c r="F22" s="1074" t="s">
        <v>1387</v>
      </c>
      <c r="G22" s="1075"/>
      <c r="H22" s="1074" t="s">
        <v>1388</v>
      </c>
      <c r="I22" s="1075"/>
      <c r="J22" s="1074" t="s">
        <v>1389</v>
      </c>
      <c r="K22" s="1075"/>
      <c r="L22" s="1074" t="s">
        <v>1377</v>
      </c>
      <c r="M22" s="1075"/>
      <c r="N22" s="1074" t="s">
        <v>1377</v>
      </c>
      <c r="O22" s="1072"/>
    </row>
    <row r="23" spans="1:15" ht="21" customHeight="1" thickTop="1" thickBot="1">
      <c r="C23" s="729" t="s">
        <v>145</v>
      </c>
      <c r="D23" s="1048" t="s">
        <v>1308</v>
      </c>
      <c r="E23" s="1060" t="s">
        <v>1376</v>
      </c>
      <c r="F23" s="1083" t="s">
        <v>1401</v>
      </c>
      <c r="G23" s="1099">
        <v>42.5</v>
      </c>
      <c r="H23" s="573" t="s">
        <v>1392</v>
      </c>
      <c r="I23" s="1103">
        <v>77.5</v>
      </c>
      <c r="J23" s="685">
        <v>88</v>
      </c>
      <c r="K23" s="1105">
        <v>92.5</v>
      </c>
      <c r="L23" s="686">
        <v>97</v>
      </c>
      <c r="M23" s="1107">
        <v>97.5</v>
      </c>
      <c r="N23" s="687">
        <v>98</v>
      </c>
      <c r="O23" s="1061" t="s">
        <v>1386</v>
      </c>
    </row>
    <row r="24" spans="1:15" ht="21" customHeight="1" thickTop="1" thickBot="1">
      <c r="C24" s="933"/>
      <c r="D24" s="1049">
        <v>96</v>
      </c>
      <c r="E24" s="1062"/>
      <c r="F24" s="943">
        <v>16.5</v>
      </c>
      <c r="G24" s="937"/>
      <c r="H24" s="979">
        <v>59</v>
      </c>
      <c r="I24" s="934"/>
      <c r="J24" s="979">
        <v>77.5</v>
      </c>
      <c r="K24" s="951"/>
      <c r="L24" s="948">
        <v>92.5</v>
      </c>
      <c r="M24" s="953"/>
      <c r="N24" s="1005">
        <v>97.5</v>
      </c>
      <c r="O24" s="1061"/>
    </row>
    <row r="25" spans="1:15" ht="21" customHeight="1" thickTop="1" thickBot="1">
      <c r="C25" s="730" t="s">
        <v>128</v>
      </c>
      <c r="D25" s="1050" t="s">
        <v>1309</v>
      </c>
      <c r="E25" s="1060" t="s">
        <v>1376</v>
      </c>
      <c r="F25" s="688">
        <v>15</v>
      </c>
      <c r="G25" s="1101">
        <v>33</v>
      </c>
      <c r="H25" s="834">
        <v>51</v>
      </c>
      <c r="I25" s="1101">
        <v>59</v>
      </c>
      <c r="J25" s="834" t="s">
        <v>1394</v>
      </c>
      <c r="K25" s="945">
        <v>77.5</v>
      </c>
      <c r="L25" s="690">
        <v>88</v>
      </c>
      <c r="M25" s="954">
        <v>92.5</v>
      </c>
      <c r="N25" s="691">
        <v>97</v>
      </c>
      <c r="O25" s="1061" t="s">
        <v>1386</v>
      </c>
    </row>
    <row r="26" spans="1:15" ht="21" customHeight="1" thickTop="1" thickBot="1">
      <c r="C26" s="40"/>
      <c r="D26" s="1051">
        <v>80</v>
      </c>
      <c r="E26" s="1063"/>
      <c r="F26" s="942">
        <v>14</v>
      </c>
      <c r="G26" s="945"/>
      <c r="H26" s="1035" t="s">
        <v>1379</v>
      </c>
      <c r="I26" s="935"/>
      <c r="J26" s="979">
        <v>59</v>
      </c>
      <c r="K26" s="947"/>
      <c r="L26" s="949">
        <v>77.5</v>
      </c>
      <c r="M26" s="954"/>
      <c r="N26" s="1006">
        <v>92.5</v>
      </c>
      <c r="O26" s="1061"/>
    </row>
    <row r="27" spans="1:15" ht="21" customHeight="1" thickTop="1" thickBot="1">
      <c r="C27" s="733" t="s">
        <v>129</v>
      </c>
      <c r="D27" s="1052" t="s">
        <v>1310</v>
      </c>
      <c r="E27" s="1060" t="s">
        <v>1376</v>
      </c>
      <c r="F27" s="688">
        <v>13</v>
      </c>
      <c r="G27" s="945">
        <v>14</v>
      </c>
      <c r="H27" s="692">
        <v>15</v>
      </c>
      <c r="I27" s="954">
        <v>33</v>
      </c>
      <c r="J27" s="834" t="s">
        <v>1390</v>
      </c>
      <c r="K27" s="945">
        <v>59</v>
      </c>
      <c r="L27" s="689">
        <v>67</v>
      </c>
      <c r="M27" s="954">
        <v>77.5</v>
      </c>
      <c r="N27" s="693">
        <v>88</v>
      </c>
      <c r="O27" s="1061" t="s">
        <v>1385</v>
      </c>
    </row>
    <row r="28" spans="1:15" ht="21" customHeight="1" thickTop="1">
      <c r="C28" s="40"/>
      <c r="D28" s="1051">
        <v>21</v>
      </c>
      <c r="E28" s="1063"/>
      <c r="F28" s="942">
        <v>7.5</v>
      </c>
      <c r="G28" s="945"/>
      <c r="H28" s="949">
        <v>14</v>
      </c>
      <c r="I28" s="935"/>
      <c r="J28" s="948">
        <v>33</v>
      </c>
      <c r="K28" s="947"/>
      <c r="L28" s="949">
        <v>59</v>
      </c>
      <c r="M28" s="954"/>
      <c r="N28" s="1006">
        <v>77.5</v>
      </c>
      <c r="O28" s="1061"/>
    </row>
    <row r="29" spans="1:15" ht="21" customHeight="1">
      <c r="C29" s="731" t="s">
        <v>130</v>
      </c>
      <c r="D29" s="1053" t="s">
        <v>1311</v>
      </c>
      <c r="E29" s="1064" t="s">
        <v>1375</v>
      </c>
      <c r="F29" s="694">
        <v>2</v>
      </c>
      <c r="G29" s="945">
        <v>7.5</v>
      </c>
      <c r="H29" s="692" t="s">
        <v>1393</v>
      </c>
      <c r="I29" s="947">
        <v>14</v>
      </c>
      <c r="J29" s="692">
        <v>15</v>
      </c>
      <c r="K29" s="947">
        <v>33</v>
      </c>
      <c r="L29" s="689">
        <v>51</v>
      </c>
      <c r="M29" s="954">
        <v>59</v>
      </c>
      <c r="N29" s="695">
        <v>67</v>
      </c>
      <c r="O29" s="1061" t="s">
        <v>1384</v>
      </c>
    </row>
    <row r="30" spans="1:15" ht="21" customHeight="1" thickBot="1">
      <c r="C30" s="40"/>
      <c r="D30" s="1054">
        <v>5</v>
      </c>
      <c r="E30" s="1065"/>
      <c r="F30" s="944">
        <v>1.5</v>
      </c>
      <c r="G30" s="946"/>
      <c r="H30" s="950">
        <v>7.5</v>
      </c>
      <c r="I30" s="936"/>
      <c r="J30" s="1036" t="s">
        <v>1378</v>
      </c>
      <c r="K30" s="952"/>
      <c r="L30" s="950">
        <v>33</v>
      </c>
      <c r="M30" s="955"/>
      <c r="N30" s="1007">
        <v>42.5</v>
      </c>
      <c r="O30" s="1061"/>
    </row>
    <row r="31" spans="1:15" ht="21" customHeight="1" thickTop="1" thickBot="1">
      <c r="C31" s="732" t="s">
        <v>131</v>
      </c>
      <c r="D31" s="1055" t="s">
        <v>1312</v>
      </c>
      <c r="E31" s="1064" t="s">
        <v>1375</v>
      </c>
      <c r="F31" s="696">
        <v>1</v>
      </c>
      <c r="G31" s="1102">
        <v>1.5</v>
      </c>
      <c r="H31" s="697">
        <v>2</v>
      </c>
      <c r="I31" s="1104">
        <v>7.5</v>
      </c>
      <c r="J31" s="698">
        <v>13</v>
      </c>
      <c r="K31" s="1106">
        <v>14</v>
      </c>
      <c r="L31" s="981" t="s">
        <v>1391</v>
      </c>
      <c r="M31" s="1108">
        <v>16.5</v>
      </c>
      <c r="N31" s="699" t="s">
        <v>1396</v>
      </c>
      <c r="O31" s="1066" t="s">
        <v>1383</v>
      </c>
    </row>
    <row r="32" spans="1:15" ht="21" customHeight="1" thickTop="1" thickBot="1">
      <c r="E32" s="1067"/>
      <c r="F32" s="1068" t="s">
        <v>1375</v>
      </c>
      <c r="G32" s="1069"/>
      <c r="H32" s="1070" t="s">
        <v>1375</v>
      </c>
      <c r="I32" s="1069"/>
      <c r="J32" s="1070" t="s">
        <v>1376</v>
      </c>
      <c r="K32" s="1069"/>
      <c r="L32" s="1070" t="s">
        <v>1376</v>
      </c>
      <c r="M32" s="1069"/>
      <c r="N32" s="1070" t="s">
        <v>1376</v>
      </c>
      <c r="O32" s="1071"/>
    </row>
    <row r="33" spans="2:13" ht="21" customHeight="1"/>
    <row r="34" spans="2:13" ht="21" customHeight="1" thickBot="1">
      <c r="L34" s="1015"/>
    </row>
    <row r="35" spans="2:13" ht="21" customHeight="1" thickTop="1" thickBot="1">
      <c r="B35" s="254"/>
      <c r="C35" s="1017"/>
      <c r="D35" s="96" t="s">
        <v>1314</v>
      </c>
      <c r="E35" s="96"/>
      <c r="F35" s="96"/>
      <c r="G35" s="96"/>
      <c r="H35" s="2256" t="s">
        <v>1315</v>
      </c>
      <c r="I35" s="2257"/>
      <c r="J35" s="2257"/>
      <c r="K35" s="2258"/>
      <c r="L35" s="96"/>
      <c r="M35" s="97"/>
    </row>
    <row r="36" spans="2:13" ht="21" customHeight="1" thickTop="1" thickBot="1">
      <c r="B36" s="75"/>
      <c r="C36" s="1023" t="s">
        <v>1351</v>
      </c>
      <c r="D36" s="634" t="s">
        <v>1327</v>
      </c>
      <c r="E36" s="958" t="s">
        <v>1317</v>
      </c>
      <c r="F36" s="959">
        <v>51</v>
      </c>
      <c r="H36" s="962" t="s">
        <v>1320</v>
      </c>
      <c r="I36" s="963">
        <v>21</v>
      </c>
      <c r="J36" s="968" t="s">
        <v>1324</v>
      </c>
      <c r="K36" s="969">
        <v>33</v>
      </c>
      <c r="M36" s="88"/>
    </row>
    <row r="37" spans="2:13" ht="21" customHeight="1" thickBot="1">
      <c r="B37" s="75"/>
      <c r="C37" s="1023" t="s">
        <v>1352</v>
      </c>
      <c r="D37" s="634" t="s">
        <v>1328</v>
      </c>
      <c r="E37" s="960" t="s">
        <v>1318</v>
      </c>
      <c r="F37" s="961">
        <v>15</v>
      </c>
      <c r="H37" s="974" t="s">
        <v>1321</v>
      </c>
      <c r="I37" s="975">
        <v>75</v>
      </c>
      <c r="J37" s="972" t="s">
        <v>1325</v>
      </c>
      <c r="K37" s="973">
        <f>K36+(I39/100)*(K38-K36)</f>
        <v>56.79661016949153</v>
      </c>
      <c r="M37" s="88"/>
    </row>
    <row r="38" spans="2:13" ht="21" customHeight="1" thickTop="1" thickBot="1">
      <c r="B38" s="75"/>
      <c r="C38" s="45"/>
      <c r="E38" s="956" t="s">
        <v>1319</v>
      </c>
      <c r="F38" s="957">
        <f>(F36+F37)/2</f>
        <v>33</v>
      </c>
      <c r="H38" s="964" t="s">
        <v>1322</v>
      </c>
      <c r="I38" s="965">
        <v>80</v>
      </c>
      <c r="J38" s="970" t="s">
        <v>1326</v>
      </c>
      <c r="K38" s="976">
        <v>59</v>
      </c>
      <c r="L38" s="977" t="s">
        <v>293</v>
      </c>
      <c r="M38" s="88"/>
    </row>
    <row r="39" spans="2:13" ht="21" customHeight="1" thickTop="1" thickBot="1">
      <c r="B39" s="75"/>
      <c r="H39" s="966" t="s">
        <v>1323</v>
      </c>
      <c r="I39" s="967">
        <f>100*(I37-I36)/(I38-I36)</f>
        <v>91.525423728813564</v>
      </c>
      <c r="L39" s="1027" t="s">
        <v>1362</v>
      </c>
      <c r="M39" s="88"/>
    </row>
    <row r="40" spans="2:13" ht="21" customHeight="1" thickTop="1" thickBot="1">
      <c r="B40" s="75"/>
      <c r="C40" s="1009"/>
      <c r="D40" s="1010" t="s">
        <v>1360</v>
      </c>
      <c r="E40" s="97"/>
      <c r="L40" s="978">
        <f>SQRT(SUMSQ(K37,K43)/2)</f>
        <v>56.79661016949153</v>
      </c>
      <c r="M40" s="88"/>
    </row>
    <row r="41" spans="2:13" ht="21" customHeight="1" thickTop="1" thickBot="1">
      <c r="B41" s="75"/>
      <c r="C41" s="1011"/>
      <c r="D41" s="634">
        <v>59</v>
      </c>
      <c r="E41" s="88"/>
      <c r="H41" s="2256" t="s">
        <v>1316</v>
      </c>
      <c r="I41" s="2257"/>
      <c r="J41" s="2257"/>
      <c r="K41" s="2258"/>
      <c r="M41" s="88"/>
    </row>
    <row r="42" spans="2:13" ht="21" customHeight="1" thickTop="1" thickBot="1">
      <c r="B42" s="75"/>
      <c r="C42" s="1012" t="s">
        <v>1353</v>
      </c>
      <c r="D42" s="834" t="s">
        <v>1390</v>
      </c>
      <c r="E42" s="1013" t="s">
        <v>1355</v>
      </c>
      <c r="H42" s="962" t="s">
        <v>1320</v>
      </c>
      <c r="I42" s="963">
        <v>21</v>
      </c>
      <c r="J42" s="968" t="s">
        <v>1324</v>
      </c>
      <c r="K42" s="969">
        <v>33</v>
      </c>
      <c r="M42" s="88"/>
    </row>
    <row r="43" spans="2:13" ht="21" customHeight="1" thickTop="1" thickBot="1">
      <c r="B43" s="75"/>
      <c r="C43" s="1011"/>
      <c r="D43" s="634">
        <v>33</v>
      </c>
      <c r="E43" s="88"/>
      <c r="H43" s="974" t="s">
        <v>1321</v>
      </c>
      <c r="I43" s="975">
        <v>75</v>
      </c>
      <c r="J43" s="972" t="s">
        <v>1325</v>
      </c>
      <c r="K43" s="973">
        <f>K42+(I45/100)*(K44-K42)</f>
        <v>56.79661016949153</v>
      </c>
      <c r="M43" s="88"/>
    </row>
    <row r="44" spans="2:13" ht="21" customHeight="1" thickBot="1">
      <c r="B44" s="75"/>
      <c r="C44" s="1014"/>
      <c r="D44" s="980" t="s">
        <v>1360</v>
      </c>
      <c r="E44" s="807"/>
      <c r="H44" s="964" t="s">
        <v>1322</v>
      </c>
      <c r="I44" s="965">
        <v>80</v>
      </c>
      <c r="J44" s="970" t="s">
        <v>1326</v>
      </c>
      <c r="K44" s="971">
        <v>59</v>
      </c>
      <c r="M44" s="88"/>
    </row>
    <row r="45" spans="2:13" ht="21" customHeight="1" thickTop="1" thickBot="1">
      <c r="B45" s="75"/>
      <c r="C45" s="1024"/>
      <c r="D45" s="1025"/>
      <c r="E45" s="1025"/>
      <c r="F45" s="1025"/>
      <c r="G45" s="1025"/>
      <c r="H45" s="966" t="s">
        <v>1323</v>
      </c>
      <c r="I45" s="967">
        <f>100*(I43-I42)/(I44-I42)</f>
        <v>91.525423728813564</v>
      </c>
      <c r="M45" s="88"/>
    </row>
    <row r="46" spans="2:13" ht="21" customHeight="1" thickTop="1" thickBot="1">
      <c r="B46" s="92"/>
      <c r="C46" s="1026"/>
      <c r="D46" s="99"/>
      <c r="E46" s="99"/>
      <c r="F46" s="99"/>
      <c r="G46" s="99"/>
      <c r="H46" s="99"/>
      <c r="I46" s="99"/>
      <c r="J46" s="99"/>
      <c r="K46" s="99"/>
      <c r="L46" s="99"/>
      <c r="M46" s="807"/>
    </row>
    <row r="47" spans="2:13" ht="21" customHeight="1" thickTop="1" thickBot="1">
      <c r="C47" s="45"/>
    </row>
    <row r="48" spans="2:13" ht="21" customHeight="1" thickTop="1" thickBot="1">
      <c r="B48" s="254"/>
      <c r="C48" s="1017"/>
      <c r="D48" s="96" t="s">
        <v>1332</v>
      </c>
      <c r="E48" s="96"/>
      <c r="F48" s="96"/>
      <c r="G48" s="97"/>
      <c r="H48" s="2256" t="s">
        <v>1315</v>
      </c>
      <c r="I48" s="2257"/>
      <c r="J48" s="2257"/>
      <c r="K48" s="2258"/>
      <c r="L48" s="254"/>
      <c r="M48" s="97"/>
    </row>
    <row r="49" spans="2:13" ht="21" customHeight="1" thickTop="1" thickBot="1">
      <c r="B49" s="75"/>
      <c r="C49" s="45" t="s">
        <v>1333</v>
      </c>
      <c r="D49" s="1034" t="s">
        <v>1329</v>
      </c>
      <c r="E49" s="958" t="s">
        <v>1317</v>
      </c>
      <c r="F49" s="959">
        <v>51</v>
      </c>
      <c r="H49" s="962" t="s">
        <v>1320</v>
      </c>
      <c r="I49" s="963">
        <v>0</v>
      </c>
      <c r="J49" s="968" t="s">
        <v>1324</v>
      </c>
      <c r="K49" s="969">
        <v>14</v>
      </c>
      <c r="L49" s="75"/>
      <c r="M49" s="88"/>
    </row>
    <row r="50" spans="2:13" ht="21" customHeight="1" thickBot="1">
      <c r="B50" s="75"/>
      <c r="C50" s="45" t="s">
        <v>1334</v>
      </c>
      <c r="D50" s="634" t="s">
        <v>1330</v>
      </c>
      <c r="E50" s="960" t="s">
        <v>1318</v>
      </c>
      <c r="F50" s="961">
        <v>15</v>
      </c>
      <c r="H50" s="974" t="s">
        <v>1321</v>
      </c>
      <c r="I50" s="975">
        <v>4</v>
      </c>
      <c r="J50" s="972" t="s">
        <v>1325</v>
      </c>
      <c r="K50" s="973">
        <f>K49+(I52/100)*(K51-K49)</f>
        <v>16</v>
      </c>
      <c r="L50" s="75"/>
      <c r="M50" s="88"/>
    </row>
    <row r="51" spans="2:13" ht="21" customHeight="1" thickTop="1" thickBot="1">
      <c r="B51" s="75"/>
      <c r="C51" s="45"/>
      <c r="D51" s="6"/>
      <c r="E51" s="956" t="s">
        <v>1319</v>
      </c>
      <c r="F51" s="957">
        <f>(F49+F50)/2</f>
        <v>33</v>
      </c>
      <c r="H51" s="964" t="s">
        <v>1322</v>
      </c>
      <c r="I51" s="965">
        <v>5</v>
      </c>
      <c r="J51" s="970" t="s">
        <v>1326</v>
      </c>
      <c r="K51" s="976">
        <v>16.5</v>
      </c>
      <c r="L51" s="977" t="s">
        <v>293</v>
      </c>
      <c r="M51" s="88"/>
    </row>
    <row r="52" spans="2:13" ht="21" customHeight="1" thickTop="1" thickBot="1">
      <c r="B52" s="75"/>
      <c r="C52" s="45"/>
      <c r="H52" s="966" t="s">
        <v>1323</v>
      </c>
      <c r="I52" s="967">
        <f>100*(I50-I49)/(I51-I49)</f>
        <v>80</v>
      </c>
      <c r="L52" s="1027" t="s">
        <v>1363</v>
      </c>
      <c r="M52" s="1033" t="s">
        <v>1370</v>
      </c>
    </row>
    <row r="53" spans="2:13" ht="21" customHeight="1" thickTop="1" thickBot="1">
      <c r="B53" s="75"/>
      <c r="C53" s="1009"/>
      <c r="D53" s="1010" t="s">
        <v>1360</v>
      </c>
      <c r="E53" s="97"/>
      <c r="L53" s="978">
        <f>SQRT(SUMSQ(K50,K56)/2)</f>
        <v>24.825012588113626</v>
      </c>
      <c r="M53" s="88"/>
    </row>
    <row r="54" spans="2:13" ht="21" customHeight="1" thickTop="1" thickBot="1">
      <c r="B54" s="75"/>
      <c r="C54" s="1011"/>
      <c r="D54" s="634">
        <v>33</v>
      </c>
      <c r="E54" s="88"/>
      <c r="H54" s="2256" t="s">
        <v>1316</v>
      </c>
      <c r="I54" s="2257"/>
      <c r="J54" s="2257"/>
      <c r="K54" s="2258"/>
      <c r="L54" s="75"/>
      <c r="M54" s="88"/>
    </row>
    <row r="55" spans="2:13" ht="21" customHeight="1" thickTop="1" thickBot="1">
      <c r="B55" s="75"/>
      <c r="C55" s="1012" t="s">
        <v>1358</v>
      </c>
      <c r="D55" s="981" t="s">
        <v>1391</v>
      </c>
      <c r="E55" s="1013" t="s">
        <v>1357</v>
      </c>
      <c r="H55" s="962" t="s">
        <v>1320</v>
      </c>
      <c r="I55" s="963">
        <v>80</v>
      </c>
      <c r="J55" s="968" t="s">
        <v>1324</v>
      </c>
      <c r="K55" s="969">
        <v>5</v>
      </c>
      <c r="L55" s="75"/>
      <c r="M55" s="88"/>
    </row>
    <row r="56" spans="2:13" ht="21" customHeight="1" thickTop="1" thickBot="1">
      <c r="B56" s="75"/>
      <c r="C56" s="1011"/>
      <c r="D56" s="1034" t="s">
        <v>1361</v>
      </c>
      <c r="E56" s="88"/>
      <c r="H56" s="974" t="s">
        <v>1321</v>
      </c>
      <c r="I56" s="975">
        <v>95</v>
      </c>
      <c r="J56" s="972" t="s">
        <v>1325</v>
      </c>
      <c r="K56" s="973">
        <f>K55+(I58/100)*(K57-K55)</f>
        <v>31.25</v>
      </c>
      <c r="L56" s="75"/>
      <c r="M56" s="88"/>
    </row>
    <row r="57" spans="2:13" ht="21" customHeight="1" thickBot="1">
      <c r="B57" s="75"/>
      <c r="C57" s="1014"/>
      <c r="D57" s="980" t="s">
        <v>1360</v>
      </c>
      <c r="E57" s="807"/>
      <c r="H57" s="964" t="s">
        <v>1322</v>
      </c>
      <c r="I57" s="965">
        <v>96</v>
      </c>
      <c r="J57" s="970" t="s">
        <v>1326</v>
      </c>
      <c r="K57" s="971">
        <v>33</v>
      </c>
      <c r="L57" s="75"/>
      <c r="M57" s="88"/>
    </row>
    <row r="58" spans="2:13" ht="21" customHeight="1" thickTop="1" thickBot="1">
      <c r="B58" s="92"/>
      <c r="C58" s="1018"/>
      <c r="D58" s="1019"/>
      <c r="E58" s="1019"/>
      <c r="F58" s="1019"/>
      <c r="G58" s="1020"/>
      <c r="H58" s="966" t="s">
        <v>1323</v>
      </c>
      <c r="I58" s="967">
        <f>100*(I56-I55)/(I57-I55)</f>
        <v>93.75</v>
      </c>
      <c r="J58" s="894"/>
      <c r="K58" s="895"/>
      <c r="L58" s="99"/>
      <c r="M58" s="807"/>
    </row>
    <row r="59" spans="2:13" ht="21" customHeight="1" thickTop="1">
      <c r="C59" s="45"/>
    </row>
    <row r="60" spans="2:13" ht="21" customHeight="1" thickBot="1">
      <c r="C60" s="45"/>
    </row>
    <row r="61" spans="2:13" ht="21" customHeight="1" thickTop="1" thickBot="1">
      <c r="B61" s="254"/>
      <c r="C61" s="1017"/>
      <c r="D61" s="96" t="s">
        <v>1335</v>
      </c>
      <c r="E61" s="96"/>
      <c r="F61" s="96"/>
      <c r="G61" s="96"/>
      <c r="H61" s="2256" t="s">
        <v>1315</v>
      </c>
      <c r="I61" s="2257"/>
      <c r="J61" s="2257"/>
      <c r="K61" s="2258"/>
      <c r="L61" s="96"/>
      <c r="M61" s="97"/>
    </row>
    <row r="62" spans="2:13" ht="21" customHeight="1" thickTop="1" thickBot="1">
      <c r="B62" s="75"/>
      <c r="C62" s="45" t="s">
        <v>1101</v>
      </c>
      <c r="D62" t="s">
        <v>1336</v>
      </c>
      <c r="E62" s="958" t="s">
        <v>1317</v>
      </c>
      <c r="F62" s="959">
        <v>51</v>
      </c>
      <c r="H62" s="962" t="s">
        <v>1320</v>
      </c>
      <c r="I62" s="963">
        <v>96</v>
      </c>
      <c r="J62" s="968" t="s">
        <v>1324</v>
      </c>
      <c r="K62" s="969">
        <v>42.5</v>
      </c>
      <c r="M62" s="88"/>
    </row>
    <row r="63" spans="2:13" ht="21" customHeight="1" thickBot="1">
      <c r="B63" s="75"/>
      <c r="C63" s="45" t="s">
        <v>1337</v>
      </c>
      <c r="D63" s="26" t="s">
        <v>1338</v>
      </c>
      <c r="E63" s="960" t="s">
        <v>1318</v>
      </c>
      <c r="F63" s="961">
        <v>15</v>
      </c>
      <c r="G63" s="1021"/>
      <c r="H63" s="974" t="s">
        <v>1321</v>
      </c>
      <c r="I63" s="975">
        <v>96</v>
      </c>
      <c r="J63" s="972" t="s">
        <v>1325</v>
      </c>
      <c r="K63" s="973">
        <f>K62+(I65/100)*(K64-K62)</f>
        <v>42.5</v>
      </c>
      <c r="M63" s="88"/>
    </row>
    <row r="64" spans="2:13" ht="21" customHeight="1" thickTop="1" thickBot="1">
      <c r="B64" s="75"/>
      <c r="C64" s="45"/>
      <c r="D64" s="6"/>
      <c r="E64" s="956" t="s">
        <v>1319</v>
      </c>
      <c r="F64" s="957">
        <f>(F62+F63)/2</f>
        <v>33</v>
      </c>
      <c r="H64" s="964" t="s">
        <v>1322</v>
      </c>
      <c r="I64" s="965">
        <v>100</v>
      </c>
      <c r="J64" s="970" t="s">
        <v>1326</v>
      </c>
      <c r="K64" s="976">
        <v>77.5</v>
      </c>
      <c r="L64" s="977" t="s">
        <v>293</v>
      </c>
      <c r="M64" s="88"/>
    </row>
    <row r="65" spans="2:13" ht="21" customHeight="1" thickTop="1" thickBot="1">
      <c r="B65" s="75"/>
      <c r="C65" s="45"/>
      <c r="D65" s="45"/>
      <c r="H65" s="966" t="s">
        <v>1323</v>
      </c>
      <c r="I65" s="967">
        <f>100*(I63-I62)/(I64-I62)</f>
        <v>0</v>
      </c>
      <c r="L65" s="1027" t="s">
        <v>1366</v>
      </c>
      <c r="M65" s="88"/>
    </row>
    <row r="66" spans="2:13" ht="21" customHeight="1" thickTop="1" thickBot="1">
      <c r="B66" s="75"/>
      <c r="C66" s="1009"/>
      <c r="D66" s="1010" t="s">
        <v>1354</v>
      </c>
      <c r="E66" s="97"/>
      <c r="L66" s="978">
        <f>SQRT(SUMSQ(K63,K69)/2)</f>
        <v>63.237538915781663</v>
      </c>
      <c r="M66" s="88"/>
    </row>
    <row r="67" spans="2:13" ht="21" customHeight="1" thickTop="1" thickBot="1">
      <c r="B67" s="75"/>
      <c r="C67" s="1011"/>
      <c r="D67" s="1034" t="s">
        <v>1364</v>
      </c>
      <c r="E67" s="88"/>
      <c r="H67" s="2256" t="s">
        <v>1316</v>
      </c>
      <c r="I67" s="2257"/>
      <c r="J67" s="2257"/>
      <c r="K67" s="2258"/>
      <c r="M67" s="88"/>
    </row>
    <row r="68" spans="2:13" ht="21" customHeight="1" thickTop="1" thickBot="1">
      <c r="B68" s="75"/>
      <c r="C68" s="1012" t="s">
        <v>1356</v>
      </c>
      <c r="D68" s="689" t="s">
        <v>1392</v>
      </c>
      <c r="E68" s="1013" t="s">
        <v>1365</v>
      </c>
      <c r="H68" s="962" t="s">
        <v>1320</v>
      </c>
      <c r="I68" s="963">
        <v>5</v>
      </c>
      <c r="J68" s="968" t="s">
        <v>1324</v>
      </c>
      <c r="K68" s="969">
        <v>59</v>
      </c>
      <c r="M68" s="88"/>
    </row>
    <row r="69" spans="2:13" ht="21" customHeight="1" thickBot="1">
      <c r="B69" s="75"/>
      <c r="C69" s="1011"/>
      <c r="D69" s="634">
        <v>59</v>
      </c>
      <c r="E69" s="88"/>
      <c r="H69" s="974" t="s">
        <v>1321</v>
      </c>
      <c r="I69" s="975">
        <v>20</v>
      </c>
      <c r="J69" s="972" t="s">
        <v>1325</v>
      </c>
      <c r="K69" s="973">
        <f>K68+(I71/100)*(K70-K68)</f>
        <v>78.6875</v>
      </c>
      <c r="M69" s="88"/>
    </row>
    <row r="70" spans="2:13" ht="21" customHeight="1" thickBot="1">
      <c r="B70" s="75"/>
      <c r="C70" s="1014"/>
      <c r="D70" s="980" t="s">
        <v>1354</v>
      </c>
      <c r="E70" s="807"/>
      <c r="H70" s="964" t="s">
        <v>1322</v>
      </c>
      <c r="I70" s="965">
        <v>21</v>
      </c>
      <c r="J70" s="970" t="s">
        <v>1326</v>
      </c>
      <c r="K70" s="971">
        <v>80</v>
      </c>
      <c r="M70" s="88"/>
    </row>
    <row r="71" spans="2:13" ht="21" customHeight="1" thickTop="1" thickBot="1">
      <c r="B71" s="92"/>
      <c r="C71" s="1019"/>
      <c r="D71" s="1019"/>
      <c r="E71" s="1019"/>
      <c r="F71" s="1019"/>
      <c r="G71" s="1019"/>
      <c r="H71" s="966" t="s">
        <v>1323</v>
      </c>
      <c r="I71" s="967">
        <f>100*(I69-I68)/(I70-I68)</f>
        <v>93.75</v>
      </c>
      <c r="J71" s="99"/>
      <c r="K71" s="99"/>
      <c r="L71" s="99"/>
      <c r="M71" s="807"/>
    </row>
    <row r="72" spans="2:13" ht="21" customHeight="1" thickTop="1">
      <c r="C72" s="45"/>
    </row>
    <row r="73" spans="2:13" ht="21" customHeight="1" thickBot="1">
      <c r="C73" s="45"/>
    </row>
    <row r="74" spans="2:13" ht="21" customHeight="1" thickTop="1" thickBot="1">
      <c r="B74" s="1028"/>
      <c r="C74" s="1017"/>
      <c r="D74" s="96" t="s">
        <v>1339</v>
      </c>
      <c r="E74" s="96"/>
      <c r="F74" s="96"/>
      <c r="G74" s="96"/>
      <c r="H74" s="2256" t="s">
        <v>1315</v>
      </c>
      <c r="I74" s="2257"/>
      <c r="J74" s="2257"/>
      <c r="K74" s="2258"/>
      <c r="L74" s="96"/>
      <c r="M74" s="97"/>
    </row>
    <row r="75" spans="2:13" ht="21" customHeight="1" thickTop="1" thickBot="1">
      <c r="B75" s="1029"/>
      <c r="C75" s="45" t="s">
        <v>1337</v>
      </c>
      <c r="D75" t="s">
        <v>1340</v>
      </c>
      <c r="E75" s="958" t="s">
        <v>1317</v>
      </c>
      <c r="F75" s="959">
        <v>51</v>
      </c>
      <c r="H75" s="962" t="s">
        <v>1320</v>
      </c>
      <c r="I75" s="963">
        <v>5</v>
      </c>
      <c r="J75" s="968" t="s">
        <v>1324</v>
      </c>
      <c r="K75" s="969">
        <v>7.5</v>
      </c>
      <c r="M75" s="88"/>
    </row>
    <row r="76" spans="2:13" ht="21" customHeight="1" thickBot="1">
      <c r="B76" s="1029"/>
      <c r="C76" s="45" t="s">
        <v>1337</v>
      </c>
      <c r="D76" t="s">
        <v>1341</v>
      </c>
      <c r="E76" s="960" t="s">
        <v>1318</v>
      </c>
      <c r="F76" s="961">
        <v>15</v>
      </c>
      <c r="H76" s="974" t="s">
        <v>1321</v>
      </c>
      <c r="I76" s="975">
        <v>20</v>
      </c>
      <c r="J76" s="972" t="s">
        <v>1325</v>
      </c>
      <c r="K76" s="973">
        <f>K75+(I78/100)*(K77-K75)</f>
        <v>13.59375</v>
      </c>
      <c r="M76" s="88"/>
    </row>
    <row r="77" spans="2:13" ht="21" customHeight="1" thickTop="1" thickBot="1">
      <c r="B77" s="1029"/>
      <c r="C77" s="45"/>
      <c r="D77" s="1022" t="s">
        <v>238</v>
      </c>
      <c r="E77" s="956" t="s">
        <v>1319</v>
      </c>
      <c r="F77" s="957">
        <f>(F75+F76)/2</f>
        <v>33</v>
      </c>
      <c r="H77" s="964" t="s">
        <v>1322</v>
      </c>
      <c r="I77" s="965">
        <v>21</v>
      </c>
      <c r="J77" s="970" t="s">
        <v>1326</v>
      </c>
      <c r="K77" s="976">
        <v>14</v>
      </c>
      <c r="L77" s="977" t="s">
        <v>293</v>
      </c>
      <c r="M77" s="88"/>
    </row>
    <row r="78" spans="2:13" ht="21" customHeight="1" thickTop="1" thickBot="1">
      <c r="B78" s="1029"/>
      <c r="C78" s="45"/>
      <c r="H78" s="966" t="s">
        <v>1323</v>
      </c>
      <c r="I78" s="967">
        <f>100*(I76-I75)/(I77-I75)</f>
        <v>93.75</v>
      </c>
      <c r="L78" s="1031" t="s">
        <v>1369</v>
      </c>
      <c r="M78" s="88"/>
    </row>
    <row r="79" spans="2:13" ht="15.45" thickTop="1" thickBot="1">
      <c r="B79" s="1029"/>
      <c r="C79" s="1009"/>
      <c r="D79" s="1010" t="s">
        <v>1354</v>
      </c>
      <c r="E79" s="97"/>
      <c r="L79" s="978">
        <f>SQRT(SUMSQ(K76,K82)/2)</f>
        <v>13.59375</v>
      </c>
      <c r="M79" s="88"/>
    </row>
    <row r="80" spans="2:13" ht="15.45" thickTop="1" thickBot="1">
      <c r="B80" s="1029"/>
      <c r="C80" s="1011"/>
      <c r="D80" s="634">
        <v>14</v>
      </c>
      <c r="E80" s="88"/>
      <c r="H80" s="2256" t="s">
        <v>1316</v>
      </c>
      <c r="I80" s="2257"/>
      <c r="J80" s="2257"/>
      <c r="K80" s="2258"/>
      <c r="M80" s="88"/>
    </row>
    <row r="81" spans="2:13" ht="15.45" thickTop="1" thickBot="1">
      <c r="B81" s="1029"/>
      <c r="C81" s="1012" t="s">
        <v>1367</v>
      </c>
      <c r="D81" s="692" t="s">
        <v>1393</v>
      </c>
      <c r="E81" s="1013" t="s">
        <v>1368</v>
      </c>
      <c r="H81" s="962" t="s">
        <v>1320</v>
      </c>
      <c r="I81" s="963">
        <v>5</v>
      </c>
      <c r="J81" s="968" t="s">
        <v>1324</v>
      </c>
      <c r="K81" s="969">
        <v>7.5</v>
      </c>
      <c r="M81" s="88"/>
    </row>
    <row r="82" spans="2:13" ht="15" thickBot="1">
      <c r="B82" s="1029"/>
      <c r="C82" s="1011"/>
      <c r="D82" s="634">
        <v>7.5</v>
      </c>
      <c r="E82" s="88"/>
      <c r="H82" s="974" t="s">
        <v>1321</v>
      </c>
      <c r="I82" s="975">
        <v>20</v>
      </c>
      <c r="J82" s="972" t="s">
        <v>1325</v>
      </c>
      <c r="K82" s="973">
        <f>K81+(I84/100)*(K83-K81)</f>
        <v>13.59375</v>
      </c>
      <c r="M82" s="88"/>
    </row>
    <row r="83" spans="2:13" ht="15" thickBot="1">
      <c r="B83" s="1029"/>
      <c r="C83" s="1014"/>
      <c r="D83" s="980" t="s">
        <v>1354</v>
      </c>
      <c r="E83" s="807"/>
      <c r="H83" s="964" t="s">
        <v>1322</v>
      </c>
      <c r="I83" s="965">
        <v>21</v>
      </c>
      <c r="J83" s="970" t="s">
        <v>1326</v>
      </c>
      <c r="K83" s="971">
        <v>14</v>
      </c>
      <c r="M83" s="88"/>
    </row>
    <row r="84" spans="2:13" ht="15.45" thickTop="1" thickBot="1">
      <c r="B84" s="1030"/>
      <c r="C84" s="1026"/>
      <c r="D84" s="99"/>
      <c r="E84" s="99"/>
      <c r="F84" s="99"/>
      <c r="G84" s="99"/>
      <c r="H84" s="966" t="s">
        <v>1323</v>
      </c>
      <c r="I84" s="967">
        <f>100*(I82-I81)/(I83-I81)</f>
        <v>93.75</v>
      </c>
      <c r="J84" s="99"/>
      <c r="K84" s="99"/>
      <c r="L84" s="99"/>
      <c r="M84" s="807"/>
    </row>
    <row r="85" spans="2:13" ht="15.45" thickTop="1" thickBot="1">
      <c r="C85" s="45"/>
    </row>
    <row r="86" spans="2:13" ht="15.45" thickTop="1" thickBot="1">
      <c r="B86" s="254"/>
      <c r="C86" s="1017"/>
      <c r="D86" s="96"/>
      <c r="E86" s="96"/>
      <c r="F86" s="96"/>
      <c r="G86" s="96"/>
      <c r="H86" s="96"/>
      <c r="I86" s="96"/>
      <c r="J86" s="96"/>
      <c r="K86" s="96"/>
      <c r="L86" s="96"/>
      <c r="M86" s="97"/>
    </row>
    <row r="87" spans="2:13" ht="15.45" thickTop="1" thickBot="1">
      <c r="B87" s="75"/>
      <c r="C87" s="45"/>
      <c r="D87" t="s">
        <v>1344</v>
      </c>
      <c r="H87" s="2256" t="s">
        <v>1315</v>
      </c>
      <c r="I87" s="2257"/>
      <c r="J87" s="2257"/>
      <c r="K87" s="2258"/>
      <c r="M87" s="88"/>
    </row>
    <row r="88" spans="2:13" ht="15.45" thickTop="1" thickBot="1">
      <c r="B88" s="75"/>
      <c r="C88" s="45" t="s">
        <v>1334</v>
      </c>
      <c r="D88" t="s">
        <v>1342</v>
      </c>
      <c r="E88" s="958" t="s">
        <v>1317</v>
      </c>
      <c r="F88" s="959">
        <v>51</v>
      </c>
      <c r="H88" s="962" t="s">
        <v>1320</v>
      </c>
      <c r="I88" s="963">
        <v>80</v>
      </c>
      <c r="J88" s="968" t="s">
        <v>1324</v>
      </c>
      <c r="K88" s="969">
        <v>59</v>
      </c>
      <c r="M88" s="88"/>
    </row>
    <row r="89" spans="2:13" ht="15" thickBot="1">
      <c r="B89" s="75"/>
      <c r="C89" s="45" t="s">
        <v>1331</v>
      </c>
      <c r="D89" t="s">
        <v>1343</v>
      </c>
      <c r="E89" s="960" t="s">
        <v>1318</v>
      </c>
      <c r="F89" s="961">
        <v>15</v>
      </c>
      <c r="H89" s="974" t="s">
        <v>1321</v>
      </c>
      <c r="I89" s="975">
        <v>95</v>
      </c>
      <c r="J89" s="972" t="s">
        <v>1325</v>
      </c>
      <c r="K89" s="973">
        <f>K88+(I91/100)*(K90-K88)</f>
        <v>76.34375</v>
      </c>
      <c r="M89" s="88"/>
    </row>
    <row r="90" spans="2:13" ht="15.45" thickTop="1" thickBot="1">
      <c r="B90" s="75"/>
      <c r="C90" s="45"/>
      <c r="D90" s="6"/>
      <c r="E90" s="956" t="s">
        <v>1319</v>
      </c>
      <c r="F90" s="957">
        <f>(F88+F89)/2</f>
        <v>33</v>
      </c>
      <c r="H90" s="964" t="s">
        <v>1322</v>
      </c>
      <c r="I90" s="965">
        <v>96</v>
      </c>
      <c r="J90" s="970" t="s">
        <v>1326</v>
      </c>
      <c r="K90" s="976">
        <v>77.5</v>
      </c>
      <c r="L90" s="977" t="s">
        <v>293</v>
      </c>
      <c r="M90" s="88"/>
    </row>
    <row r="91" spans="2:13" ht="15.45" thickTop="1" thickBot="1">
      <c r="B91" s="75"/>
      <c r="C91" s="45"/>
      <c r="H91" s="966" t="s">
        <v>1323</v>
      </c>
      <c r="I91" s="967">
        <f>100*(I89-I88)/(I90-I88)</f>
        <v>93.75</v>
      </c>
      <c r="L91" s="1027" t="s">
        <v>1373</v>
      </c>
      <c r="M91" s="88"/>
    </row>
    <row r="92" spans="2:13" ht="15.45" thickTop="1" thickBot="1">
      <c r="B92" s="75"/>
      <c r="C92" s="1009"/>
      <c r="D92" s="1010" t="s">
        <v>1354</v>
      </c>
      <c r="E92" s="97"/>
      <c r="L92" s="978">
        <f>SQRT(SUMSQ(K89,K95)/2)</f>
        <v>76.766251662418952</v>
      </c>
      <c r="M92" s="88"/>
    </row>
    <row r="93" spans="2:13" ht="15.45" thickTop="1" thickBot="1">
      <c r="B93" s="75"/>
      <c r="C93" s="1011"/>
      <c r="D93" s="634">
        <v>77.5</v>
      </c>
      <c r="E93" s="88"/>
      <c r="H93" s="2256" t="s">
        <v>1316</v>
      </c>
      <c r="I93" s="2257"/>
      <c r="J93" s="2257"/>
      <c r="K93" s="2258"/>
      <c r="M93" s="88"/>
    </row>
    <row r="94" spans="2:13" ht="15.45" thickTop="1" thickBot="1">
      <c r="B94" s="75"/>
      <c r="C94" s="1012" t="s">
        <v>1371</v>
      </c>
      <c r="D94" s="834" t="s">
        <v>1395</v>
      </c>
      <c r="E94" s="1013" t="s">
        <v>1372</v>
      </c>
      <c r="H94" s="962" t="s">
        <v>1320</v>
      </c>
      <c r="I94" s="963">
        <v>21</v>
      </c>
      <c r="J94" s="968" t="s">
        <v>1324</v>
      </c>
      <c r="K94" s="969">
        <v>59</v>
      </c>
      <c r="M94" s="88"/>
    </row>
    <row r="95" spans="2:13" ht="15.45" thickTop="1" thickBot="1">
      <c r="B95" s="75"/>
      <c r="C95" s="1011"/>
      <c r="D95" s="634">
        <v>59</v>
      </c>
      <c r="E95" s="88"/>
      <c r="H95" s="974" t="s">
        <v>1321</v>
      </c>
      <c r="I95" s="975">
        <v>79</v>
      </c>
      <c r="J95" s="972" t="s">
        <v>1325</v>
      </c>
      <c r="K95" s="973">
        <f>K94+(I97/100)*(K96-K94)</f>
        <v>77.186440677966104</v>
      </c>
      <c r="M95" s="88"/>
    </row>
    <row r="96" spans="2:13" ht="15" thickBot="1">
      <c r="B96" s="75"/>
      <c r="C96" s="1014"/>
      <c r="D96" s="980" t="s">
        <v>1354</v>
      </c>
      <c r="E96" s="807"/>
      <c r="H96" s="964" t="s">
        <v>1322</v>
      </c>
      <c r="I96" s="965">
        <v>80</v>
      </c>
      <c r="J96" s="970" t="s">
        <v>1326</v>
      </c>
      <c r="K96" s="971">
        <v>77.5</v>
      </c>
      <c r="M96" s="88"/>
    </row>
    <row r="97" spans="2:13" ht="15.45" thickTop="1" thickBot="1">
      <c r="B97" s="92"/>
      <c r="C97" s="1026"/>
      <c r="D97" s="99"/>
      <c r="E97" s="99"/>
      <c r="F97" s="99"/>
      <c r="G97" s="99"/>
      <c r="H97" s="966" t="s">
        <v>1323</v>
      </c>
      <c r="I97" s="967">
        <f>100*(I95-I94)/(I96-I94)</f>
        <v>98.305084745762713</v>
      </c>
      <c r="J97" s="99"/>
      <c r="K97" s="99"/>
      <c r="L97" s="99"/>
      <c r="M97" s="807"/>
    </row>
    <row r="98" spans="2:13" ht="15.45" thickTop="1" thickBot="1">
      <c r="C98" s="45"/>
    </row>
    <row r="99" spans="2:13" ht="15.45" thickTop="1" thickBot="1">
      <c r="B99" s="254"/>
      <c r="C99" s="1017"/>
      <c r="D99" s="96"/>
      <c r="E99" s="96"/>
      <c r="F99" s="96"/>
      <c r="G99" s="96"/>
      <c r="H99" s="96"/>
      <c r="I99" s="96"/>
      <c r="J99" s="96"/>
      <c r="K99" s="96"/>
      <c r="L99" s="96"/>
      <c r="M99" s="97"/>
    </row>
    <row r="100" spans="2:13" ht="15.45" thickTop="1" thickBot="1">
      <c r="B100" s="75"/>
      <c r="C100" s="45"/>
      <c r="D100" t="s">
        <v>1374</v>
      </c>
      <c r="H100" s="2256" t="s">
        <v>1315</v>
      </c>
      <c r="I100" s="2257"/>
      <c r="J100" s="2257"/>
      <c r="K100" s="2258"/>
      <c r="M100" s="88"/>
    </row>
    <row r="101" spans="2:13" ht="15.45" thickTop="1" thickBot="1">
      <c r="B101" s="75"/>
      <c r="C101" s="45" t="s">
        <v>1333</v>
      </c>
      <c r="D101" t="s">
        <v>1380</v>
      </c>
      <c r="E101" s="958" t="s">
        <v>1317</v>
      </c>
      <c r="F101" s="959">
        <v>51</v>
      </c>
      <c r="H101" s="962" t="s">
        <v>1320</v>
      </c>
      <c r="I101" s="963">
        <v>0</v>
      </c>
      <c r="J101" s="968" t="s">
        <v>1324</v>
      </c>
      <c r="K101" s="969">
        <v>16.5</v>
      </c>
      <c r="M101" s="88"/>
    </row>
    <row r="102" spans="2:13" ht="15" thickBot="1">
      <c r="B102" s="75"/>
      <c r="C102" s="45" t="s">
        <v>1101</v>
      </c>
      <c r="D102" t="s">
        <v>1381</v>
      </c>
      <c r="E102" s="960" t="s">
        <v>1318</v>
      </c>
      <c r="F102" s="961">
        <v>15</v>
      </c>
      <c r="H102" s="974" t="s">
        <v>1321</v>
      </c>
      <c r="I102" s="975">
        <v>4</v>
      </c>
      <c r="J102" s="972" t="s">
        <v>1325</v>
      </c>
      <c r="K102" s="973">
        <f>K101+(I104/100)*(K103-K101)</f>
        <v>20.100000000000001</v>
      </c>
      <c r="M102" s="88"/>
    </row>
    <row r="103" spans="2:13" ht="15.45" thickTop="1" thickBot="1">
      <c r="B103" s="75"/>
      <c r="C103" s="45"/>
      <c r="D103" s="6"/>
      <c r="E103" s="956" t="s">
        <v>1319</v>
      </c>
      <c r="F103" s="957">
        <f>(F101+F102)/2</f>
        <v>33</v>
      </c>
      <c r="H103" s="964" t="s">
        <v>1322</v>
      </c>
      <c r="I103" s="965">
        <v>5</v>
      </c>
      <c r="J103" s="970" t="s">
        <v>1326</v>
      </c>
      <c r="K103" s="976">
        <v>21</v>
      </c>
      <c r="L103" s="977" t="s">
        <v>293</v>
      </c>
      <c r="M103" s="88"/>
    </row>
    <row r="104" spans="2:13" ht="15.45" thickTop="1" thickBot="1">
      <c r="B104" s="75"/>
      <c r="C104" s="45"/>
      <c r="H104" s="966" t="s">
        <v>1323</v>
      </c>
      <c r="I104" s="967">
        <f>100*(I102-I101)/(I103-I101)</f>
        <v>80</v>
      </c>
      <c r="L104" s="1027" t="s">
        <v>1399</v>
      </c>
      <c r="M104" s="1032"/>
    </row>
    <row r="105" spans="2:13" ht="15.45" thickTop="1" thickBot="1">
      <c r="B105" s="75"/>
      <c r="C105" s="1009"/>
      <c r="D105" s="1010" t="s">
        <v>1354</v>
      </c>
      <c r="E105" s="97"/>
      <c r="L105" s="978">
        <f>SQRT(SUMSQ(K102,K108)/2)</f>
        <v>33.243495604403577</v>
      </c>
      <c r="M105" s="88"/>
    </row>
    <row r="106" spans="2:13" ht="15.45" thickTop="1" thickBot="1">
      <c r="B106" s="75"/>
      <c r="C106" s="1011"/>
      <c r="D106" s="634">
        <v>42.5</v>
      </c>
      <c r="E106" s="88"/>
      <c r="H106" s="2256" t="s">
        <v>1316</v>
      </c>
      <c r="I106" s="2257"/>
      <c r="J106" s="2257"/>
      <c r="K106" s="2258"/>
      <c r="M106" s="88"/>
    </row>
    <row r="107" spans="2:13" ht="15.45" thickTop="1" thickBot="1">
      <c r="B107" s="75"/>
      <c r="C107" s="1012" t="s">
        <v>1397</v>
      </c>
      <c r="D107" s="699" t="s">
        <v>1382</v>
      </c>
      <c r="E107" s="1037" t="s">
        <v>1398</v>
      </c>
      <c r="H107" s="962" t="s">
        <v>1320</v>
      </c>
      <c r="I107" s="963">
        <v>96</v>
      </c>
      <c r="J107" s="968" t="s">
        <v>1324</v>
      </c>
      <c r="K107" s="969">
        <v>5</v>
      </c>
      <c r="M107" s="88"/>
    </row>
    <row r="108" spans="2:13" ht="15.45" thickTop="1" thickBot="1">
      <c r="B108" s="75"/>
      <c r="C108" s="1011"/>
      <c r="D108" s="1034" t="s">
        <v>1359</v>
      </c>
      <c r="E108" s="88"/>
      <c r="H108" s="974" t="s">
        <v>1321</v>
      </c>
      <c r="I108" s="975">
        <v>100</v>
      </c>
      <c r="J108" s="972" t="s">
        <v>1325</v>
      </c>
      <c r="K108" s="973">
        <f>K107+(I110/100)*(K109-K107)</f>
        <v>42.5</v>
      </c>
      <c r="M108" s="88"/>
    </row>
    <row r="109" spans="2:13" ht="15" thickBot="1">
      <c r="B109" s="75"/>
      <c r="C109" s="1014"/>
      <c r="D109" s="980" t="s">
        <v>1354</v>
      </c>
      <c r="E109" s="807"/>
      <c r="H109" s="964" t="s">
        <v>1322</v>
      </c>
      <c r="I109" s="965">
        <v>100</v>
      </c>
      <c r="J109" s="970" t="s">
        <v>1326</v>
      </c>
      <c r="K109" s="971">
        <v>42.5</v>
      </c>
      <c r="M109" s="88"/>
    </row>
    <row r="110" spans="2:13" ht="15.45" thickTop="1" thickBot="1">
      <c r="B110" s="92"/>
      <c r="C110" s="1026"/>
      <c r="D110" s="99"/>
      <c r="E110" s="99"/>
      <c r="F110" s="99"/>
      <c r="G110" s="99"/>
      <c r="H110" s="966" t="s">
        <v>1323</v>
      </c>
      <c r="I110" s="967">
        <f>100*(I108-I107)/(I109-I107)</f>
        <v>100</v>
      </c>
      <c r="J110" s="99"/>
      <c r="K110" s="99"/>
      <c r="L110" s="99"/>
      <c r="M110" s="807"/>
    </row>
    <row r="111" spans="2:13" ht="15.45" thickTop="1" thickBot="1"/>
    <row r="112" spans="2:13" ht="15.45" thickTop="1" thickBot="1">
      <c r="B112" s="254"/>
      <c r="C112" s="1017"/>
      <c r="D112" s="96"/>
      <c r="E112" s="96"/>
      <c r="F112" s="96"/>
      <c r="G112" s="96"/>
      <c r="H112" s="96"/>
      <c r="I112" s="96"/>
      <c r="J112" s="96"/>
      <c r="K112" s="96"/>
      <c r="L112" s="96"/>
      <c r="M112" s="97"/>
    </row>
    <row r="113" spans="2:13" ht="15.45" thickTop="1" thickBot="1">
      <c r="B113" s="75"/>
      <c r="C113" s="45"/>
      <c r="D113" t="s">
        <v>1400</v>
      </c>
      <c r="H113" s="2256" t="s">
        <v>1315</v>
      </c>
      <c r="I113" s="2257"/>
      <c r="J113" s="2257"/>
      <c r="K113" s="2258"/>
      <c r="M113" s="88"/>
    </row>
    <row r="114" spans="2:13" ht="15.45" thickTop="1" thickBot="1">
      <c r="B114" s="75"/>
      <c r="C114" s="45" t="s">
        <v>1101</v>
      </c>
      <c r="D114" t="s">
        <v>1381</v>
      </c>
      <c r="E114" s="958" t="s">
        <v>1317</v>
      </c>
      <c r="F114" s="959">
        <v>51</v>
      </c>
      <c r="H114" s="962" t="s">
        <v>1320</v>
      </c>
      <c r="I114" s="963">
        <v>0</v>
      </c>
      <c r="J114" s="968" t="s">
        <v>1324</v>
      </c>
      <c r="K114" s="969">
        <v>5</v>
      </c>
      <c r="M114" s="88"/>
    </row>
    <row r="115" spans="2:13" ht="15" thickBot="1">
      <c r="B115" s="75"/>
      <c r="C115" s="45" t="s">
        <v>1333</v>
      </c>
      <c r="D115" t="s">
        <v>1380</v>
      </c>
      <c r="E115" s="960" t="s">
        <v>1318</v>
      </c>
      <c r="F115" s="961">
        <v>15</v>
      </c>
      <c r="H115" s="974" t="s">
        <v>1321</v>
      </c>
      <c r="I115" s="975">
        <v>4</v>
      </c>
      <c r="J115" s="972" t="s">
        <v>1325</v>
      </c>
      <c r="K115" s="973">
        <f>K114+(I117/100)*(K116-K114)</f>
        <v>35</v>
      </c>
      <c r="M115" s="88"/>
    </row>
    <row r="116" spans="2:13" ht="15.45" thickTop="1" thickBot="1">
      <c r="B116" s="75"/>
      <c r="C116" s="45"/>
      <c r="E116" s="956" t="s">
        <v>1319</v>
      </c>
      <c r="F116" s="957">
        <f>(F114+F115)/2</f>
        <v>33</v>
      </c>
      <c r="H116" s="964" t="s">
        <v>1322</v>
      </c>
      <c r="I116" s="965">
        <v>5</v>
      </c>
      <c r="J116" s="970" t="s">
        <v>1326</v>
      </c>
      <c r="K116" s="976">
        <v>42.5</v>
      </c>
      <c r="L116" s="977" t="s">
        <v>293</v>
      </c>
      <c r="M116" s="88"/>
    </row>
    <row r="117" spans="2:13" ht="15.45" thickTop="1" thickBot="1">
      <c r="B117" s="75"/>
      <c r="C117" s="45"/>
      <c r="H117" s="966" t="s">
        <v>1323</v>
      </c>
      <c r="I117" s="967">
        <f>100*(I115-I114)/(I116-I114)</f>
        <v>80</v>
      </c>
      <c r="L117" s="1027" t="s">
        <v>1405</v>
      </c>
      <c r="M117" s="1032"/>
    </row>
    <row r="118" spans="2:13" ht="15.45" thickTop="1" thickBot="1">
      <c r="B118" s="75"/>
      <c r="C118" s="1009"/>
      <c r="D118" s="1010" t="s">
        <v>1354</v>
      </c>
      <c r="E118" s="97"/>
      <c r="L118" s="978">
        <f>SQRT(SUMSQ(K115,K121)/2)</f>
        <v>28.539533983581443</v>
      </c>
      <c r="M118" s="88"/>
    </row>
    <row r="119" spans="2:13" ht="15.45" thickTop="1" thickBot="1">
      <c r="B119" s="75"/>
      <c r="C119" s="1011"/>
      <c r="D119" s="1034" t="s">
        <v>1404</v>
      </c>
      <c r="E119" s="88"/>
      <c r="H119" s="2256" t="s">
        <v>1316</v>
      </c>
      <c r="I119" s="2257"/>
      <c r="J119" s="2257"/>
      <c r="K119" s="2258"/>
      <c r="M119" s="88"/>
    </row>
    <row r="120" spans="2:13" ht="15.45" thickTop="1" thickBot="1">
      <c r="B120" s="75"/>
      <c r="C120" s="1039" t="s">
        <v>1402</v>
      </c>
      <c r="D120" s="1038" t="s">
        <v>1401</v>
      </c>
      <c r="E120" s="1013" t="s">
        <v>1403</v>
      </c>
      <c r="H120" s="962" t="s">
        <v>1320</v>
      </c>
      <c r="I120" s="963">
        <v>0</v>
      </c>
      <c r="J120" s="968" t="s">
        <v>1324</v>
      </c>
      <c r="K120" s="969">
        <v>16.5</v>
      </c>
      <c r="M120" s="88"/>
    </row>
    <row r="121" spans="2:13" ht="15" thickBot="1">
      <c r="B121" s="75"/>
      <c r="C121" s="1011"/>
      <c r="D121" s="634">
        <v>16.5</v>
      </c>
      <c r="E121" s="88"/>
      <c r="H121" s="974" t="s">
        <v>1321</v>
      </c>
      <c r="I121" s="975">
        <v>4</v>
      </c>
      <c r="J121" s="972" t="s">
        <v>1325</v>
      </c>
      <c r="K121" s="973">
        <f>K120+(I123/100)*(K122-K120)</f>
        <v>20.100000000000001</v>
      </c>
      <c r="M121" s="88"/>
    </row>
    <row r="122" spans="2:13" ht="15" thickBot="1">
      <c r="B122" s="75"/>
      <c r="C122" s="1014"/>
      <c r="D122" s="980" t="s">
        <v>1354</v>
      </c>
      <c r="E122" s="807"/>
      <c r="H122" s="964" t="s">
        <v>1322</v>
      </c>
      <c r="I122" s="965">
        <v>5</v>
      </c>
      <c r="J122" s="970" t="s">
        <v>1326</v>
      </c>
      <c r="K122" s="971">
        <v>21</v>
      </c>
      <c r="M122" s="88"/>
    </row>
    <row r="123" spans="2:13" ht="15.45" thickTop="1" thickBot="1">
      <c r="B123" s="92"/>
      <c r="C123" s="1026"/>
      <c r="D123" s="99"/>
      <c r="E123" s="99"/>
      <c r="F123" s="99"/>
      <c r="G123" s="99"/>
      <c r="H123" s="966" t="s">
        <v>1323</v>
      </c>
      <c r="I123" s="967">
        <f>100*(I121-I120)/(I122-I120)</f>
        <v>80</v>
      </c>
      <c r="J123" s="99"/>
      <c r="K123" s="99"/>
      <c r="L123" s="99"/>
      <c r="M123" s="807"/>
    </row>
    <row r="124" spans="2:13" ht="15" thickTop="1"/>
  </sheetData>
  <mergeCells count="16">
    <mergeCell ref="H54:K54"/>
    <mergeCell ref="F17:N19"/>
    <mergeCell ref="E17:E20"/>
    <mergeCell ref="H35:K35"/>
    <mergeCell ref="H41:K41"/>
    <mergeCell ref="H48:K48"/>
    <mergeCell ref="H61:K61"/>
    <mergeCell ref="H67:K67"/>
    <mergeCell ref="H74:K74"/>
    <mergeCell ref="H80:K80"/>
    <mergeCell ref="H87:K87"/>
    <mergeCell ref="H93:K93"/>
    <mergeCell ref="H100:K100"/>
    <mergeCell ref="H106:K106"/>
    <mergeCell ref="H113:K113"/>
    <mergeCell ref="H119:K119"/>
  </mergeCells>
  <pageMargins left="0.7" right="0.7" top="0.75" bottom="0.75" header="0.3" footer="0.3"/>
  <pageSetup orientation="portrait" verticalDpi="0" r:id="rId1"/>
  <drawing r:id="rId2"/>
  <legacyDrawing r:id="rId3"/>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rgb="FF00FF00"/>
  </sheetPr>
  <dimension ref="C1:AS139"/>
  <sheetViews>
    <sheetView workbookViewId="0"/>
  </sheetViews>
  <sheetFormatPr defaultRowHeight="14.6"/>
  <cols>
    <col min="3" max="3" width="24.69140625" customWidth="1"/>
    <col min="4" max="4" width="14.69140625" customWidth="1"/>
    <col min="5" max="5" width="28.3046875" customWidth="1"/>
    <col min="6" max="10" width="26.69140625" customWidth="1"/>
    <col min="12" max="12" width="24.69140625" customWidth="1"/>
    <col min="35" max="35" width="15.3046875" customWidth="1"/>
  </cols>
  <sheetData>
    <row r="1" spans="3:35">
      <c r="J1" s="31"/>
    </row>
    <row r="2" spans="3:35" ht="18.45">
      <c r="C2" s="525"/>
      <c r="D2" s="525"/>
      <c r="E2" s="525"/>
      <c r="F2" s="525"/>
      <c r="G2" s="525"/>
      <c r="H2" s="38" t="s">
        <v>1140</v>
      </c>
      <c r="I2" s="908" t="s">
        <v>1290</v>
      </c>
      <c r="J2" s="31" t="str">
        <f ca="1">OFFSET(I2_Concept_1!$E$23,MATCH(Work!$BA$8,I2_Concept_1!$C$23:$C$27,0)-1,  MATCH(Work!$BA$8,I2_Concept_1!$E$21:$I$21,0)-1)</f>
        <v>High</v>
      </c>
      <c r="K2" t="s">
        <v>1294</v>
      </c>
    </row>
    <row r="3" spans="3:35">
      <c r="E3" s="773" t="s">
        <v>1105</v>
      </c>
      <c r="F3" s="23"/>
      <c r="G3" s="773" t="s">
        <v>1104</v>
      </c>
      <c r="H3" s="38" t="s">
        <v>1140</v>
      </c>
      <c r="I3" s="908" t="s">
        <v>1292</v>
      </c>
      <c r="J3" s="31">
        <f ca="1">OFFSET(I2_Concept_1!$E$35,MATCH(Work!$BA$8,I2_Concept_1!$C$35:$C$39,0)-1,   MATCH(Work!$BK$8,I2_Concept_1!$E$33:$I$33,0)-1)</f>
        <v>60</v>
      </c>
      <c r="K3" t="s">
        <v>1291</v>
      </c>
    </row>
    <row r="4" spans="3:35" ht="15" thickBot="1">
      <c r="E4" s="768" t="s">
        <v>217</v>
      </c>
      <c r="F4" s="23"/>
      <c r="G4" s="768" t="s">
        <v>1103</v>
      </c>
      <c r="H4" s="23"/>
      <c r="I4" s="23"/>
      <c r="J4" s="23"/>
    </row>
    <row r="5" spans="3:35" ht="15" thickTop="1">
      <c r="H5" s="23"/>
      <c r="I5" s="23"/>
      <c r="J5" s="23" t="s">
        <v>1134</v>
      </c>
    </row>
    <row r="6" spans="3:35">
      <c r="H6" s="23"/>
      <c r="I6" s="23"/>
      <c r="J6" s="43" t="s">
        <v>1133</v>
      </c>
      <c r="K6" s="43"/>
      <c r="L6" s="43"/>
      <c r="M6" s="43"/>
      <c r="N6" s="43"/>
      <c r="O6" s="43"/>
      <c r="P6" s="43"/>
    </row>
    <row r="7" spans="3:35">
      <c r="E7" s="23"/>
      <c r="F7" s="23"/>
      <c r="G7" s="23"/>
      <c r="H7" s="23"/>
      <c r="I7" s="790" t="s">
        <v>1132</v>
      </c>
      <c r="J7" s="2391" t="str">
        <f ca="1">OFFSET($E$23,MATCH($E$14,$C$23:$C$27,0)-1,               MATCH($G$14,$E$21:$I$21,0)-1)</f>
        <v>Very Low</v>
      </c>
      <c r="K7" s="2391"/>
      <c r="L7" s="2391"/>
      <c r="M7" s="2391"/>
      <c r="N7" s="2391"/>
      <c r="O7" s="2391"/>
      <c r="P7" s="2391"/>
    </row>
    <row r="8" spans="3:35" ht="15.9">
      <c r="E8" s="23"/>
      <c r="F8" s="23"/>
      <c r="G8" s="23"/>
      <c r="H8" s="23"/>
      <c r="I8" s="791" t="s">
        <v>1135</v>
      </c>
      <c r="J8" s="2437" t="s">
        <v>1293</v>
      </c>
      <c r="K8" s="2437"/>
      <c r="L8" s="2437"/>
      <c r="M8" s="2437"/>
      <c r="N8" s="2437"/>
      <c r="O8" s="2437"/>
      <c r="P8" s="2437"/>
    </row>
    <row r="9" spans="3:35" ht="15.9">
      <c r="E9" s="23"/>
      <c r="F9" s="23"/>
      <c r="G9" s="23"/>
      <c r="H9" s="23"/>
      <c r="I9" s="792" t="s">
        <v>1136</v>
      </c>
      <c r="J9" s="2390">
        <f ca="1">OFFSET($E$35,MATCH(Work!$BA$8,$C$35:$C$39,0)-1,   MATCH(Work!$BK$8,$E$33:$I$33,0)-1)</f>
        <v>60</v>
      </c>
      <c r="K9" s="2390"/>
      <c r="L9" s="2390"/>
      <c r="M9" s="2390"/>
      <c r="N9" s="2390"/>
      <c r="O9" s="2390"/>
      <c r="P9" s="2390"/>
    </row>
    <row r="10" spans="3:35">
      <c r="E10" s="23"/>
      <c r="F10" s="23"/>
      <c r="G10" s="23"/>
      <c r="H10" s="23"/>
    </row>
    <row r="11" spans="3:35">
      <c r="E11" s="23"/>
      <c r="F11" s="23"/>
      <c r="G11" s="23"/>
      <c r="L11" s="38" t="s">
        <v>1140</v>
      </c>
      <c r="M11" s="908" t="s">
        <v>1290</v>
      </c>
      <c r="N11" s="31" t="str">
        <f ca="1">OFFSET(I2_Concept_1!$E$23,MATCH(Work!$BA$8,I2_Concept_1!$C$23:$C$27,0)-1,  MATCH(Work!$BA$8,I2_Concept_1!$E$21:$I$21,0)-1)</f>
        <v>High</v>
      </c>
      <c r="O11" t="s">
        <v>1294</v>
      </c>
    </row>
    <row r="12" spans="3:35">
      <c r="L12" s="38" t="s">
        <v>1140</v>
      </c>
      <c r="M12" s="908" t="s">
        <v>1292</v>
      </c>
      <c r="N12" s="31">
        <f ca="1">OFFSET(I2_Concept_1!$E$35,MATCH(Work!$BA$8,I2_Concept_1!$C$35:$C$39,0)-1,   MATCH(Work!$BK$8,I2_Concept_1!$E$33:$I$33,0)-1)</f>
        <v>60</v>
      </c>
      <c r="O12" t="s">
        <v>1291</v>
      </c>
    </row>
    <row r="13" spans="3:35" ht="18.899999999999999" thickBot="1">
      <c r="D13" s="777" t="s">
        <v>1115</v>
      </c>
      <c r="E13" s="778" t="s">
        <v>1113</v>
      </c>
      <c r="F13" s="23"/>
      <c r="G13" s="779" t="s">
        <v>1112</v>
      </c>
      <c r="H13" s="777" t="s">
        <v>1114</v>
      </c>
      <c r="J13" s="776" t="s">
        <v>1096</v>
      </c>
    </row>
    <row r="14" spans="3:35" ht="15.45" thickTop="1" thickBot="1">
      <c r="D14" s="115">
        <f>MATCH($E$14, $C$23:$C$27,0)</f>
        <v>4</v>
      </c>
      <c r="E14" s="772" t="s">
        <v>130</v>
      </c>
      <c r="F14" s="23"/>
      <c r="G14" s="622" t="s">
        <v>131</v>
      </c>
      <c r="H14" s="115">
        <f>MATCH($G$14,$E$21:$I$21,0)</f>
        <v>1</v>
      </c>
      <c r="J14" s="622" t="str">
        <f ca="1">OFFSET($E$23,MATCH($E$14,$C$23:$C$27,0)-1,MATCH($G$14,$E$21:$I$21,0)-1)</f>
        <v>Very Low</v>
      </c>
    </row>
    <row r="15" spans="3:35" ht="19.3" thickTop="1" thickBot="1">
      <c r="D15" s="43"/>
      <c r="F15" s="23"/>
      <c r="G15" s="23"/>
      <c r="H15" s="23"/>
      <c r="I15" s="23"/>
      <c r="J15" s="771">
        <f ca="1">OFFSET($E$35,MATCH($E$14,$C$23:$C$27,0)-1,MATCH($G$14,$E$21:$I$21,0)-1)</f>
        <v>1</v>
      </c>
      <c r="K15" s="525"/>
    </row>
    <row r="16" spans="3:35" ht="15.45" thickTop="1" thickBot="1">
      <c r="F16" s="23"/>
      <c r="G16" s="23"/>
      <c r="H16" s="23"/>
      <c r="I16" s="23"/>
      <c r="J16" s="23"/>
      <c r="K16" s="23"/>
      <c r="P16" s="650">
        <v>1</v>
      </c>
      <c r="Q16" s="651">
        <f>1+P16</f>
        <v>2</v>
      </c>
      <c r="R16" s="651">
        <f t="shared" ref="R16:AI16" si="0">1+Q16</f>
        <v>3</v>
      </c>
      <c r="S16" s="651">
        <f t="shared" si="0"/>
        <v>4</v>
      </c>
      <c r="T16" s="651">
        <f t="shared" si="0"/>
        <v>5</v>
      </c>
      <c r="U16" s="651">
        <f t="shared" si="0"/>
        <v>6</v>
      </c>
      <c r="V16" s="651">
        <f t="shared" si="0"/>
        <v>7</v>
      </c>
      <c r="W16" s="651">
        <f t="shared" si="0"/>
        <v>8</v>
      </c>
      <c r="X16" s="651">
        <f t="shared" si="0"/>
        <v>9</v>
      </c>
      <c r="Y16" s="651">
        <f t="shared" si="0"/>
        <v>10</v>
      </c>
      <c r="Z16" s="651">
        <f t="shared" si="0"/>
        <v>11</v>
      </c>
      <c r="AA16" s="651">
        <f t="shared" si="0"/>
        <v>12</v>
      </c>
      <c r="AB16" s="651">
        <f t="shared" si="0"/>
        <v>13</v>
      </c>
      <c r="AC16" s="651">
        <f t="shared" si="0"/>
        <v>14</v>
      </c>
      <c r="AD16" s="651">
        <f t="shared" si="0"/>
        <v>15</v>
      </c>
      <c r="AE16" s="651">
        <f t="shared" si="0"/>
        <v>16</v>
      </c>
      <c r="AF16" s="651">
        <f t="shared" si="0"/>
        <v>17</v>
      </c>
      <c r="AG16" s="651">
        <f t="shared" si="0"/>
        <v>18</v>
      </c>
      <c r="AH16" s="651">
        <f t="shared" si="0"/>
        <v>19</v>
      </c>
      <c r="AI16" s="652">
        <f t="shared" si="0"/>
        <v>20</v>
      </c>
    </row>
    <row r="17" spans="3:40" ht="19.3" thickTop="1" thickBot="1">
      <c r="E17" s="472">
        <v>1</v>
      </c>
      <c r="F17" s="472">
        <v>2</v>
      </c>
      <c r="G17" s="472">
        <v>3</v>
      </c>
      <c r="H17" s="472">
        <v>4</v>
      </c>
      <c r="I17" s="472">
        <v>5</v>
      </c>
      <c r="J17" s="774"/>
      <c r="K17" s="106"/>
      <c r="L17" s="592"/>
      <c r="M17" s="592"/>
      <c r="N17" s="592"/>
      <c r="O17" s="592"/>
      <c r="P17" s="592"/>
      <c r="Q17" s="592"/>
      <c r="R17" s="592"/>
      <c r="S17" s="592"/>
      <c r="T17" s="592"/>
      <c r="U17" s="592"/>
      <c r="V17" s="592"/>
    </row>
    <row r="18" spans="3:40" ht="19.3" thickTop="1" thickBot="1">
      <c r="C18" s="769" t="s">
        <v>1110</v>
      </c>
      <c r="D18" s="769" t="s">
        <v>1111</v>
      </c>
      <c r="E18" s="769" t="s">
        <v>1102</v>
      </c>
      <c r="F18" s="769" t="s">
        <v>1106</v>
      </c>
      <c r="G18" s="769" t="s">
        <v>1107</v>
      </c>
      <c r="H18" s="769" t="s">
        <v>1108</v>
      </c>
      <c r="I18" s="769" t="s">
        <v>1109</v>
      </c>
      <c r="J18" s="23"/>
      <c r="K18" s="106"/>
      <c r="L18" s="41" t="s">
        <v>131</v>
      </c>
      <c r="M18" s="42">
        <v>3</v>
      </c>
      <c r="N18" s="592"/>
      <c r="O18" s="592"/>
      <c r="P18" s="641">
        <v>0</v>
      </c>
      <c r="Q18" s="642">
        <v>1</v>
      </c>
      <c r="R18" s="649">
        <v>2</v>
      </c>
      <c r="S18" s="643">
        <v>3</v>
      </c>
      <c r="T18" s="642">
        <v>4</v>
      </c>
      <c r="U18" s="644">
        <v>5</v>
      </c>
      <c r="V18" s="592"/>
      <c r="W18" s="592"/>
      <c r="X18" s="592"/>
      <c r="Y18" s="592"/>
      <c r="Z18" s="592"/>
      <c r="AA18" s="592"/>
      <c r="AB18" s="592"/>
      <c r="AC18" s="592"/>
      <c r="AD18" s="592"/>
      <c r="AE18" s="592"/>
      <c r="AF18" s="592"/>
    </row>
    <row r="19" spans="3:40" ht="19.3" thickTop="1" thickBot="1">
      <c r="D19" s="2427" t="s">
        <v>939</v>
      </c>
      <c r="E19" s="2430" t="s">
        <v>940</v>
      </c>
      <c r="F19" s="2431"/>
      <c r="G19" s="2431"/>
      <c r="H19" s="2431"/>
      <c r="I19" s="2432"/>
      <c r="J19" s="23"/>
      <c r="K19" s="106"/>
      <c r="L19" s="40" t="s">
        <v>130</v>
      </c>
      <c r="M19" s="20">
        <v>13</v>
      </c>
      <c r="N19" s="592"/>
      <c r="O19" s="592"/>
      <c r="P19" s="641">
        <v>5</v>
      </c>
      <c r="Q19" s="642">
        <v>6</v>
      </c>
      <c r="R19" s="642">
        <v>7</v>
      </c>
      <c r="S19" s="642">
        <v>8</v>
      </c>
      <c r="T19" s="642">
        <v>9</v>
      </c>
      <c r="U19" s="642">
        <v>10</v>
      </c>
      <c r="V19" s="642">
        <v>11</v>
      </c>
      <c r="W19" s="649">
        <v>12</v>
      </c>
      <c r="X19" s="643">
        <v>13</v>
      </c>
      <c r="Y19" s="642">
        <v>14</v>
      </c>
      <c r="Z19" s="752">
        <v>15</v>
      </c>
      <c r="AA19" s="642">
        <v>16</v>
      </c>
      <c r="AB19" s="752">
        <v>17</v>
      </c>
      <c r="AC19" s="642">
        <v>18</v>
      </c>
      <c r="AD19" s="752">
        <v>19</v>
      </c>
      <c r="AE19" s="644">
        <v>20</v>
      </c>
      <c r="AF19" s="592"/>
      <c r="AG19" s="592"/>
      <c r="AH19" s="592"/>
      <c r="AI19" s="592"/>
      <c r="AJ19" s="592"/>
    </row>
    <row r="20" spans="3:40" ht="19.3" thickTop="1" thickBot="1">
      <c r="D20" s="2428"/>
      <c r="E20" s="2433"/>
      <c r="F20" s="2434"/>
      <c r="G20" s="2434"/>
      <c r="H20" s="2434"/>
      <c r="I20" s="2435"/>
      <c r="J20" s="23"/>
      <c r="K20" s="106"/>
      <c r="L20" s="40" t="s">
        <v>129</v>
      </c>
      <c r="M20" s="20">
        <v>51</v>
      </c>
      <c r="N20" s="592"/>
      <c r="O20" s="592"/>
      <c r="P20" s="641" t="s">
        <v>1015</v>
      </c>
      <c r="Q20" s="642" t="s">
        <v>1016</v>
      </c>
      <c r="R20" s="642" t="s">
        <v>1017</v>
      </c>
      <c r="S20" s="642" t="s">
        <v>1018</v>
      </c>
      <c r="T20" s="642" t="s">
        <v>1019</v>
      </c>
      <c r="U20" s="642" t="s">
        <v>1020</v>
      </c>
      <c r="V20" s="642" t="s">
        <v>1021</v>
      </c>
      <c r="W20" s="642" t="s">
        <v>1022</v>
      </c>
      <c r="X20" s="642" t="s">
        <v>1023</v>
      </c>
      <c r="Y20" s="649" t="s">
        <v>1024</v>
      </c>
      <c r="Z20" s="649" t="s">
        <v>1034</v>
      </c>
      <c r="AA20" s="642" t="s">
        <v>1025</v>
      </c>
      <c r="AB20" s="642" t="s">
        <v>1026</v>
      </c>
      <c r="AC20" s="642" t="s">
        <v>1027</v>
      </c>
      <c r="AD20" s="642" t="s">
        <v>1028</v>
      </c>
      <c r="AE20" s="752" t="s">
        <v>1029</v>
      </c>
      <c r="AF20" s="642" t="s">
        <v>1030</v>
      </c>
      <c r="AG20" s="642" t="s">
        <v>1031</v>
      </c>
      <c r="AH20" s="642" t="s">
        <v>1032</v>
      </c>
      <c r="AI20" s="644" t="s">
        <v>1033</v>
      </c>
      <c r="AJ20" s="592"/>
    </row>
    <row r="21" spans="3:40" ht="19.3" thickTop="1" thickBot="1">
      <c r="D21" s="2428"/>
      <c r="E21" s="716" t="s">
        <v>131</v>
      </c>
      <c r="F21" s="704" t="s">
        <v>130</v>
      </c>
      <c r="G21" s="704" t="s">
        <v>129</v>
      </c>
      <c r="H21" s="704" t="s">
        <v>128</v>
      </c>
      <c r="I21" s="705" t="s">
        <v>145</v>
      </c>
      <c r="J21" s="23"/>
      <c r="K21" s="106"/>
      <c r="L21" s="40" t="s">
        <v>128</v>
      </c>
      <c r="M21" s="20">
        <v>88</v>
      </c>
      <c r="N21" s="592"/>
      <c r="O21" s="592"/>
      <c r="P21" s="645">
        <v>80</v>
      </c>
      <c r="Q21" s="646">
        <v>81</v>
      </c>
      <c r="R21" s="646">
        <v>82</v>
      </c>
      <c r="S21" s="646">
        <v>83</v>
      </c>
      <c r="T21" s="646">
        <v>84</v>
      </c>
      <c r="U21" s="646">
        <v>85</v>
      </c>
      <c r="V21" s="646">
        <v>86</v>
      </c>
      <c r="W21" s="646">
        <v>87</v>
      </c>
      <c r="X21" s="647">
        <v>88</v>
      </c>
      <c r="Y21" s="646">
        <v>89</v>
      </c>
      <c r="Z21" s="646">
        <v>90</v>
      </c>
      <c r="AA21" s="646">
        <v>91</v>
      </c>
      <c r="AB21" s="646">
        <v>92</v>
      </c>
      <c r="AC21" s="646">
        <v>93</v>
      </c>
      <c r="AD21" s="646">
        <v>94</v>
      </c>
      <c r="AE21" s="648">
        <v>95</v>
      </c>
      <c r="AF21" s="592"/>
      <c r="AG21" s="592"/>
      <c r="AH21" s="592"/>
      <c r="AI21" s="592"/>
      <c r="AJ21" s="592"/>
    </row>
    <row r="22" spans="3:40" ht="19.3" thickTop="1" thickBot="1">
      <c r="D22" s="2429"/>
      <c r="E22" s="700" t="s">
        <v>348</v>
      </c>
      <c r="F22" s="763" t="s">
        <v>238</v>
      </c>
      <c r="G22" s="701" t="s">
        <v>260</v>
      </c>
      <c r="H22" s="702" t="s">
        <v>261</v>
      </c>
      <c r="I22" s="703" t="s">
        <v>235</v>
      </c>
      <c r="J22" s="23"/>
      <c r="K22" s="106"/>
      <c r="L22" s="63" t="s">
        <v>145</v>
      </c>
      <c r="M22" s="4">
        <v>98</v>
      </c>
      <c r="N22" s="592"/>
      <c r="O22" s="592"/>
      <c r="P22" s="645">
        <v>96</v>
      </c>
      <c r="Q22" s="646">
        <v>97</v>
      </c>
      <c r="R22" s="647">
        <v>98</v>
      </c>
      <c r="S22" s="646">
        <v>99</v>
      </c>
      <c r="T22" s="648">
        <v>100</v>
      </c>
      <c r="U22" s="592"/>
      <c r="V22" s="592"/>
      <c r="W22" s="592"/>
      <c r="X22" s="592"/>
      <c r="Y22" s="592"/>
      <c r="Z22" s="592"/>
      <c r="AA22" s="592"/>
      <c r="AB22" s="592"/>
      <c r="AC22" s="592"/>
      <c r="AD22" s="592"/>
      <c r="AE22" s="592"/>
      <c r="AF22" s="592"/>
    </row>
    <row r="23" spans="3:40" ht="15.9" thickTop="1" thickBot="1">
      <c r="C23" s="705" t="s">
        <v>145</v>
      </c>
      <c r="D23" s="767" t="s">
        <v>235</v>
      </c>
      <c r="E23" s="775" t="s">
        <v>348</v>
      </c>
      <c r="F23" s="611" t="s">
        <v>238</v>
      </c>
      <c r="G23" s="608" t="s">
        <v>260</v>
      </c>
      <c r="H23" s="607" t="s">
        <v>261</v>
      </c>
      <c r="I23" s="601" t="s">
        <v>235</v>
      </c>
      <c r="J23" s="23"/>
      <c r="K23" s="106"/>
      <c r="L23" s="592"/>
      <c r="M23" s="592"/>
      <c r="N23" s="592"/>
      <c r="O23" s="592"/>
      <c r="P23" s="592"/>
      <c r="Q23" s="592"/>
      <c r="R23" s="592"/>
      <c r="S23" s="592"/>
      <c r="T23" s="592"/>
      <c r="U23" s="592"/>
    </row>
    <row r="24" spans="3:40" ht="15.45" thickTop="1">
      <c r="C24" s="704" t="s">
        <v>128</v>
      </c>
      <c r="D24" s="766" t="s">
        <v>261</v>
      </c>
      <c r="E24" s="614" t="s">
        <v>348</v>
      </c>
      <c r="F24" s="611" t="s">
        <v>238</v>
      </c>
      <c r="G24" s="608" t="s">
        <v>260</v>
      </c>
      <c r="H24" s="606" t="s">
        <v>261</v>
      </c>
      <c r="I24" s="602" t="s">
        <v>235</v>
      </c>
      <c r="K24" s="106"/>
      <c r="L24" s="592"/>
      <c r="M24" s="592"/>
      <c r="N24" s="592"/>
      <c r="O24" s="592"/>
      <c r="P24" s="592"/>
      <c r="Q24" s="592"/>
      <c r="R24" s="592"/>
      <c r="S24" s="592"/>
      <c r="T24" s="592"/>
      <c r="U24" s="592"/>
    </row>
    <row r="25" spans="3:40" ht="15.45" thickBot="1">
      <c r="C25" s="704" t="s">
        <v>129</v>
      </c>
      <c r="D25" s="765" t="s">
        <v>260</v>
      </c>
      <c r="E25" s="614" t="s">
        <v>348</v>
      </c>
      <c r="F25" s="611" t="s">
        <v>238</v>
      </c>
      <c r="G25" s="608" t="s">
        <v>260</v>
      </c>
      <c r="H25" s="608" t="s">
        <v>260</v>
      </c>
      <c r="I25" s="607" t="s">
        <v>261</v>
      </c>
      <c r="K25" s="106"/>
      <c r="L25" s="592"/>
      <c r="M25" s="592"/>
      <c r="N25" s="592"/>
      <c r="O25" s="592"/>
      <c r="P25" s="592"/>
      <c r="Q25" s="592"/>
      <c r="R25" s="592"/>
      <c r="S25" s="592"/>
      <c r="T25" s="592"/>
      <c r="U25" s="592"/>
      <c r="V25" s="592"/>
      <c r="W25" s="592"/>
      <c r="X25" s="592"/>
      <c r="Y25" s="592"/>
      <c r="Z25" s="592"/>
      <c r="AA25" s="592"/>
      <c r="AB25" s="592"/>
      <c r="AC25" s="592"/>
      <c r="AD25" s="592"/>
      <c r="AE25" s="592"/>
      <c r="AF25" s="592"/>
      <c r="AJ25" s="23"/>
      <c r="AK25" s="23"/>
      <c r="AL25" s="23"/>
      <c r="AM25" s="23"/>
      <c r="AN25" s="23"/>
    </row>
    <row r="26" spans="3:40" ht="21.45" thickTop="1" thickBot="1">
      <c r="C26" s="704" t="s">
        <v>130</v>
      </c>
      <c r="D26" s="764" t="s">
        <v>238</v>
      </c>
      <c r="E26" s="614" t="s">
        <v>348</v>
      </c>
      <c r="F26" s="611" t="s">
        <v>238</v>
      </c>
      <c r="G26" s="611" t="s">
        <v>238</v>
      </c>
      <c r="H26" s="611" t="s">
        <v>238</v>
      </c>
      <c r="I26" s="600" t="s">
        <v>260</v>
      </c>
      <c r="K26" s="106"/>
      <c r="L26" s="716" t="s">
        <v>131</v>
      </c>
      <c r="M26" s="717">
        <v>3</v>
      </c>
      <c r="N26" s="742"/>
      <c r="O26" s="2445" t="s">
        <v>1079</v>
      </c>
      <c r="P26" s="2446"/>
      <c r="Q26" s="743"/>
      <c r="R26" s="2445" t="s">
        <v>1083</v>
      </c>
      <c r="S26" s="2446"/>
      <c r="T26" s="743"/>
      <c r="U26" s="2445" t="s">
        <v>1082</v>
      </c>
      <c r="V26" s="2446"/>
      <c r="W26" s="744"/>
      <c r="X26" s="2445" t="s">
        <v>1081</v>
      </c>
      <c r="Y26" s="2446"/>
      <c r="Z26" s="745"/>
      <c r="AA26" s="2445" t="s">
        <v>1080</v>
      </c>
      <c r="AB26" s="2446"/>
      <c r="AC26" s="745"/>
      <c r="AD26" s="2445"/>
      <c r="AE26" s="2446"/>
      <c r="AF26" s="592"/>
      <c r="AI26" s="753" t="s">
        <v>1084</v>
      </c>
      <c r="AJ26" s="23" t="s">
        <v>1097</v>
      </c>
      <c r="AK26" s="23" t="s">
        <v>1098</v>
      </c>
      <c r="AL26" s="23" t="s">
        <v>1099</v>
      </c>
      <c r="AM26" s="23" t="s">
        <v>1100</v>
      </c>
      <c r="AN26" s="23" t="s">
        <v>1101</v>
      </c>
    </row>
    <row r="27" spans="3:40" ht="15.9" thickTop="1" thickBot="1">
      <c r="C27" s="716" t="s">
        <v>131</v>
      </c>
      <c r="D27" s="761" t="s">
        <v>348</v>
      </c>
      <c r="E27" s="615" t="s">
        <v>348</v>
      </c>
      <c r="F27" s="616" t="s">
        <v>348</v>
      </c>
      <c r="G27" s="616" t="s">
        <v>348</v>
      </c>
      <c r="H27" s="612" t="s">
        <v>238</v>
      </c>
      <c r="I27" s="613" t="s">
        <v>238</v>
      </c>
      <c r="K27" s="106"/>
      <c r="L27" s="711"/>
      <c r="M27" s="712"/>
      <c r="N27" s="75"/>
      <c r="O27" s="75"/>
      <c r="P27" s="88"/>
      <c r="R27" s="75"/>
      <c r="S27" s="88"/>
      <c r="U27" s="75"/>
      <c r="V27" s="88"/>
      <c r="W27" s="88"/>
      <c r="X27" s="75"/>
      <c r="Y27" s="88"/>
      <c r="Z27" s="94"/>
      <c r="AA27" s="75"/>
      <c r="AB27" s="88"/>
      <c r="AC27" s="94"/>
      <c r="AD27" s="75"/>
      <c r="AE27" s="88"/>
      <c r="AF27" s="592"/>
      <c r="AI27" s="2427" t="s">
        <v>939</v>
      </c>
      <c r="AJ27" s="2430" t="s">
        <v>940</v>
      </c>
      <c r="AK27" s="2431"/>
      <c r="AL27" s="2431"/>
      <c r="AM27" s="2431"/>
      <c r="AN27" s="2432"/>
    </row>
    <row r="28" spans="3:40" ht="15.45" thickTop="1">
      <c r="F28" s="23"/>
      <c r="G28" s="23"/>
      <c r="H28" s="23"/>
      <c r="I28" s="23"/>
      <c r="K28" s="106"/>
      <c r="L28" s="704" t="s">
        <v>130</v>
      </c>
      <c r="M28" s="316">
        <v>13</v>
      </c>
      <c r="N28" s="296"/>
      <c r="O28" s="2447" t="s">
        <v>1075</v>
      </c>
      <c r="P28" s="2448"/>
      <c r="Q28" s="473"/>
      <c r="R28" s="2447" t="s">
        <v>1076</v>
      </c>
      <c r="S28" s="2448"/>
      <c r="T28" s="473"/>
      <c r="U28" s="2447" t="s">
        <v>1077</v>
      </c>
      <c r="V28" s="2448"/>
      <c r="W28" s="746"/>
      <c r="X28" s="2447" t="s">
        <v>1078</v>
      </c>
      <c r="Y28" s="2448"/>
      <c r="Z28" s="747"/>
      <c r="AA28" s="2447"/>
      <c r="AB28" s="2448"/>
      <c r="AC28" s="747"/>
      <c r="AD28" s="2447"/>
      <c r="AE28" s="2448"/>
      <c r="AF28" s="592"/>
      <c r="AI28" s="2428"/>
      <c r="AJ28" s="2433"/>
      <c r="AK28" s="2434"/>
      <c r="AL28" s="2434"/>
      <c r="AM28" s="2434"/>
      <c r="AN28" s="2435"/>
    </row>
    <row r="29" spans="3:40" ht="18.899999999999999" thickBot="1">
      <c r="C29" s="770" t="s">
        <v>1110</v>
      </c>
      <c r="D29" s="770" t="s">
        <v>1111</v>
      </c>
      <c r="E29" s="769" t="s">
        <v>1102</v>
      </c>
      <c r="F29" s="769" t="s">
        <v>1106</v>
      </c>
      <c r="G29" s="769" t="s">
        <v>1107</v>
      </c>
      <c r="H29" s="769" t="s">
        <v>1108</v>
      </c>
      <c r="I29" s="769" t="s">
        <v>1109</v>
      </c>
      <c r="K29" s="106"/>
      <c r="L29" s="711"/>
      <c r="M29" s="712"/>
      <c r="N29" s="75"/>
      <c r="O29" s="75"/>
      <c r="P29" s="88"/>
      <c r="R29" s="75"/>
      <c r="S29" s="88"/>
      <c r="U29" s="75"/>
      <c r="V29" s="88"/>
      <c r="W29" s="88"/>
      <c r="X29" s="75"/>
      <c r="Y29" s="88"/>
      <c r="Z29" s="94"/>
      <c r="AA29" s="75"/>
      <c r="AB29" s="88"/>
      <c r="AC29" s="94"/>
      <c r="AD29" s="75"/>
      <c r="AE29" s="88"/>
      <c r="AF29" s="592"/>
      <c r="AI29" s="2428"/>
      <c r="AJ29" s="2442"/>
      <c r="AK29" s="2443"/>
      <c r="AL29" s="2443"/>
      <c r="AM29" s="2443"/>
      <c r="AN29" s="2444"/>
    </row>
    <row r="30" spans="3:40" ht="15.45" thickTop="1">
      <c r="D30" s="2427" t="s">
        <v>939</v>
      </c>
      <c r="E30" s="2430" t="s">
        <v>940</v>
      </c>
      <c r="F30" s="2431"/>
      <c r="G30" s="2431"/>
      <c r="H30" s="2431"/>
      <c r="I30" s="2432"/>
      <c r="K30" s="106"/>
      <c r="L30" s="704" t="s">
        <v>129</v>
      </c>
      <c r="M30" s="316">
        <v>51</v>
      </c>
      <c r="N30" s="296"/>
      <c r="O30" s="2447" t="s">
        <v>1072</v>
      </c>
      <c r="P30" s="2448"/>
      <c r="Q30" s="473"/>
      <c r="R30" s="2447" t="s">
        <v>1073</v>
      </c>
      <c r="S30" s="2448"/>
      <c r="T30" s="473"/>
      <c r="U30" s="2447" t="s">
        <v>1074</v>
      </c>
      <c r="V30" s="2448"/>
      <c r="W30" s="746"/>
      <c r="X30" s="2447"/>
      <c r="Y30" s="2448"/>
      <c r="Z30" s="747"/>
      <c r="AA30" s="2447"/>
      <c r="AB30" s="2448"/>
      <c r="AC30" s="747"/>
      <c r="AD30" s="2447"/>
      <c r="AE30" s="2448"/>
      <c r="AF30" s="592"/>
      <c r="AI30" s="2428"/>
      <c r="AJ30" s="735"/>
      <c r="AK30" s="735"/>
      <c r="AL30" s="735"/>
      <c r="AM30" s="735"/>
      <c r="AN30" s="736"/>
    </row>
    <row r="31" spans="3:40" ht="15" thickBot="1">
      <c r="D31" s="2428"/>
      <c r="E31" s="2433"/>
      <c r="F31" s="2434"/>
      <c r="G31" s="2434"/>
      <c r="H31" s="2434"/>
      <c r="I31" s="2435"/>
      <c r="K31" s="106"/>
      <c r="L31" s="711"/>
      <c r="M31" s="712"/>
      <c r="N31" s="75"/>
      <c r="O31" s="75"/>
      <c r="P31" s="88"/>
      <c r="R31" s="75"/>
      <c r="S31" s="88"/>
      <c r="U31" s="75"/>
      <c r="V31" s="88"/>
      <c r="W31" s="88"/>
      <c r="X31" s="75"/>
      <c r="Y31" s="88"/>
      <c r="Z31" s="94"/>
      <c r="AA31" s="75"/>
      <c r="AB31" s="88"/>
      <c r="AC31" s="94"/>
      <c r="AD31" s="75"/>
      <c r="AE31" s="88"/>
      <c r="AF31" s="592"/>
      <c r="AI31" s="2429"/>
      <c r="AJ31" s="599" t="s">
        <v>348</v>
      </c>
      <c r="AK31" s="484" t="s">
        <v>238</v>
      </c>
      <c r="AL31" s="484" t="s">
        <v>260</v>
      </c>
      <c r="AM31" s="484" t="s">
        <v>261</v>
      </c>
      <c r="AN31" s="485" t="s">
        <v>235</v>
      </c>
    </row>
    <row r="32" spans="3:40" ht="15.9" thickTop="1" thickBot="1">
      <c r="D32" s="2428"/>
      <c r="E32" s="2433"/>
      <c r="F32" s="2434"/>
      <c r="G32" s="2434"/>
      <c r="H32" s="2434"/>
      <c r="I32" s="2435"/>
      <c r="K32" s="106"/>
      <c r="L32" s="704" t="s">
        <v>128</v>
      </c>
      <c r="M32" s="316">
        <v>88</v>
      </c>
      <c r="N32" s="296"/>
      <c r="O32" s="2447" t="s">
        <v>1070</v>
      </c>
      <c r="P32" s="2448"/>
      <c r="Q32" s="473"/>
      <c r="R32" s="2447" t="s">
        <v>1071</v>
      </c>
      <c r="S32" s="2448"/>
      <c r="T32" s="473"/>
      <c r="U32" s="2447"/>
      <c r="V32" s="2448"/>
      <c r="W32" s="746"/>
      <c r="X32" s="2447"/>
      <c r="Y32" s="2448"/>
      <c r="Z32" s="747"/>
      <c r="AA32" s="2447"/>
      <c r="AB32" s="2448"/>
      <c r="AC32" s="747"/>
      <c r="AD32" s="2447"/>
      <c r="AE32" s="2448"/>
      <c r="AF32" s="592"/>
      <c r="AG32" s="23"/>
      <c r="AH32" s="23" t="s">
        <v>1101</v>
      </c>
      <c r="AI32" s="160" t="s">
        <v>235</v>
      </c>
      <c r="AJ32" s="740">
        <f>AG32*AJ25/100</f>
        <v>0</v>
      </c>
      <c r="AK32" s="740">
        <f>AG29*AK25/100</f>
        <v>0</v>
      </c>
      <c r="AL32" s="684">
        <v>75</v>
      </c>
      <c r="AM32" s="685">
        <v>91</v>
      </c>
      <c r="AN32" s="687">
        <v>100</v>
      </c>
    </row>
    <row r="33" spans="3:40" ht="15.9" thickTop="1" thickBot="1">
      <c r="D33" s="2428"/>
      <c r="E33" s="716" t="s">
        <v>131</v>
      </c>
      <c r="F33" s="704" t="s">
        <v>130</v>
      </c>
      <c r="G33" s="704" t="s">
        <v>129</v>
      </c>
      <c r="H33" s="704" t="s">
        <v>128</v>
      </c>
      <c r="I33" s="705" t="s">
        <v>145</v>
      </c>
      <c r="K33" s="106"/>
      <c r="L33" s="711"/>
      <c r="M33" s="712"/>
      <c r="N33" s="75"/>
      <c r="O33" s="75"/>
      <c r="P33" s="88"/>
      <c r="R33" s="75"/>
      <c r="S33" s="88"/>
      <c r="U33" s="75"/>
      <c r="V33" s="88"/>
      <c r="W33" s="88"/>
      <c r="X33" s="75"/>
      <c r="Y33" s="88"/>
      <c r="Z33" s="94"/>
      <c r="AA33" s="75"/>
      <c r="AB33" s="88"/>
      <c r="AC33" s="94"/>
      <c r="AD33" s="75"/>
      <c r="AE33" s="88"/>
      <c r="AF33" s="592"/>
      <c r="AG33" s="23"/>
      <c r="AH33" s="23" t="s">
        <v>1100</v>
      </c>
      <c r="AI33" s="597" t="s">
        <v>261</v>
      </c>
      <c r="AJ33" s="740">
        <f>AG33*AJ25/100</f>
        <v>0</v>
      </c>
      <c r="AK33" s="740">
        <f>AG29*AK25/100</f>
        <v>0</v>
      </c>
      <c r="AL33" s="689">
        <v>60</v>
      </c>
      <c r="AM33" s="690">
        <v>88</v>
      </c>
      <c r="AN33" s="691">
        <v>99</v>
      </c>
    </row>
    <row r="34" spans="3:40" ht="15.9" thickTop="1" thickBot="1">
      <c r="D34" s="2429"/>
      <c r="E34" s="700" t="s">
        <v>348</v>
      </c>
      <c r="F34" s="763" t="s">
        <v>238</v>
      </c>
      <c r="G34" s="701" t="s">
        <v>260</v>
      </c>
      <c r="H34" s="702" t="s">
        <v>261</v>
      </c>
      <c r="I34" s="703" t="s">
        <v>235</v>
      </c>
      <c r="K34" s="106"/>
      <c r="L34" s="705" t="s">
        <v>145</v>
      </c>
      <c r="M34" s="706">
        <v>98</v>
      </c>
      <c r="N34" s="748"/>
      <c r="O34" s="2449" t="s">
        <v>1069</v>
      </c>
      <c r="P34" s="2450"/>
      <c r="Q34" s="749"/>
      <c r="R34" s="2449" t="s">
        <v>1068</v>
      </c>
      <c r="S34" s="2450"/>
      <c r="T34" s="749"/>
      <c r="U34" s="2449"/>
      <c r="V34" s="2450"/>
      <c r="W34" s="750"/>
      <c r="X34" s="2449"/>
      <c r="Y34" s="2450"/>
      <c r="Z34" s="751"/>
      <c r="AA34" s="2449"/>
      <c r="AB34" s="2450"/>
      <c r="AC34" s="751"/>
      <c r="AD34" s="2449"/>
      <c r="AE34" s="2450"/>
      <c r="AF34" s="592"/>
      <c r="AG34" s="23"/>
      <c r="AH34" s="23" t="s">
        <v>1099</v>
      </c>
      <c r="AI34" s="597" t="s">
        <v>260</v>
      </c>
      <c r="AJ34" s="740">
        <f>AG34*AJ25/100</f>
        <v>0</v>
      </c>
      <c r="AK34" s="740">
        <f>AG29*AK25/100</f>
        <v>0</v>
      </c>
      <c r="AL34" s="689">
        <v>51</v>
      </c>
      <c r="AM34" s="689">
        <v>60</v>
      </c>
      <c r="AN34" s="693">
        <v>88</v>
      </c>
    </row>
    <row r="35" spans="3:40" ht="15.9" thickTop="1" thickBot="1">
      <c r="C35" s="705" t="s">
        <v>145</v>
      </c>
      <c r="D35" s="767" t="s">
        <v>235</v>
      </c>
      <c r="E35" s="740">
        <v>4</v>
      </c>
      <c r="F35" s="741">
        <v>18</v>
      </c>
      <c r="G35" s="684">
        <v>75</v>
      </c>
      <c r="H35" s="685">
        <v>91</v>
      </c>
      <c r="I35" s="687">
        <v>100</v>
      </c>
      <c r="K35" s="106"/>
      <c r="L35" s="592"/>
      <c r="M35" s="592"/>
      <c r="N35" s="592"/>
      <c r="O35" s="592"/>
      <c r="P35" s="592"/>
      <c r="Q35" s="592"/>
      <c r="R35" s="592"/>
      <c r="S35" s="592"/>
      <c r="T35" s="592"/>
      <c r="U35" s="592"/>
      <c r="V35" s="592"/>
      <c r="W35" s="592"/>
      <c r="X35" s="592"/>
      <c r="Y35" s="592"/>
      <c r="Z35" s="592"/>
      <c r="AA35" s="592"/>
      <c r="AB35" s="592"/>
      <c r="AC35" s="592"/>
      <c r="AD35" s="592"/>
      <c r="AE35" s="592"/>
      <c r="AF35" s="592"/>
      <c r="AG35" s="23"/>
      <c r="AH35" s="23" t="s">
        <v>1098</v>
      </c>
      <c r="AI35" s="597" t="s">
        <v>238</v>
      </c>
      <c r="AJ35" s="740">
        <f>AG35*AJ25/100</f>
        <v>0</v>
      </c>
      <c r="AK35" s="740">
        <f>AG29*AK25/100</f>
        <v>0</v>
      </c>
      <c r="AL35" s="692">
        <v>15</v>
      </c>
      <c r="AM35" s="692">
        <v>17</v>
      </c>
      <c r="AN35" s="695">
        <v>60</v>
      </c>
    </row>
    <row r="36" spans="3:40" ht="15.9" thickTop="1" thickBot="1">
      <c r="C36" s="704" t="s">
        <v>128</v>
      </c>
      <c r="D36" s="766" t="s">
        <v>261</v>
      </c>
      <c r="E36" s="694">
        <v>3</v>
      </c>
      <c r="F36" s="762">
        <v>17</v>
      </c>
      <c r="G36" s="689">
        <v>60</v>
      </c>
      <c r="H36" s="690">
        <v>88</v>
      </c>
      <c r="I36" s="691">
        <v>99</v>
      </c>
      <c r="K36" s="106"/>
      <c r="L36" s="592"/>
      <c r="M36" s="592"/>
      <c r="N36" s="592"/>
      <c r="O36" s="592"/>
      <c r="P36" s="592"/>
      <c r="Q36" s="592"/>
      <c r="R36" s="592"/>
      <c r="S36" s="592"/>
      <c r="T36" s="592"/>
      <c r="U36" s="592"/>
      <c r="V36" s="592"/>
      <c r="W36" s="592"/>
      <c r="X36" s="592"/>
      <c r="Y36" s="592"/>
      <c r="Z36" s="592"/>
      <c r="AA36" s="592"/>
      <c r="AB36" s="592"/>
      <c r="AC36" s="592"/>
      <c r="AD36" s="592"/>
      <c r="AE36" s="592"/>
      <c r="AF36" s="592"/>
      <c r="AG36" s="23"/>
      <c r="AH36" s="23" t="s">
        <v>1097</v>
      </c>
      <c r="AI36" s="598" t="s">
        <v>348</v>
      </c>
      <c r="AJ36" s="740">
        <f>AG36*AJ25/100</f>
        <v>0</v>
      </c>
      <c r="AK36" s="740">
        <f>AH29*AK25/100</f>
        <v>0</v>
      </c>
      <c r="AL36" s="697">
        <v>2</v>
      </c>
      <c r="AM36" s="698">
        <v>15</v>
      </c>
      <c r="AN36" s="699">
        <v>17</v>
      </c>
    </row>
    <row r="37" spans="3:40" ht="15.9" thickTop="1" thickBot="1">
      <c r="C37" s="704" t="s">
        <v>129</v>
      </c>
      <c r="D37" s="765" t="s">
        <v>260</v>
      </c>
      <c r="E37" s="694">
        <v>2</v>
      </c>
      <c r="F37" s="692">
        <v>15</v>
      </c>
      <c r="G37" s="689">
        <v>51</v>
      </c>
      <c r="H37" s="689">
        <v>60</v>
      </c>
      <c r="I37" s="693">
        <v>88</v>
      </c>
      <c r="K37" s="106"/>
      <c r="L37" s="592"/>
      <c r="M37" s="592"/>
      <c r="N37" s="592"/>
      <c r="O37" s="592"/>
      <c r="P37" s="592"/>
      <c r="Q37" s="592"/>
      <c r="R37" s="592"/>
      <c r="S37" s="592"/>
      <c r="T37" s="592"/>
      <c r="U37" s="592"/>
      <c r="V37" s="592"/>
      <c r="W37" s="592"/>
      <c r="X37" s="592"/>
      <c r="Y37" s="592"/>
      <c r="Z37" s="592"/>
      <c r="AA37" s="592"/>
      <c r="AB37" s="592"/>
      <c r="AC37" s="592"/>
      <c r="AD37" s="592"/>
      <c r="AE37" s="592"/>
      <c r="AF37" s="592"/>
      <c r="AI37" s="23"/>
      <c r="AK37" t="s">
        <v>1102</v>
      </c>
    </row>
    <row r="38" spans="3:40" ht="15.9" thickTop="1" thickBot="1">
      <c r="C38" s="704" t="s">
        <v>130</v>
      </c>
      <c r="D38" s="764" t="s">
        <v>238</v>
      </c>
      <c r="E38" s="694">
        <v>1</v>
      </c>
      <c r="F38" s="692">
        <v>13</v>
      </c>
      <c r="G38" s="692">
        <v>15</v>
      </c>
      <c r="H38" s="692">
        <v>17</v>
      </c>
      <c r="I38" s="695">
        <v>60</v>
      </c>
      <c r="K38" s="592"/>
      <c r="L38" s="592"/>
      <c r="M38" s="592"/>
      <c r="N38" s="667" t="s">
        <v>348</v>
      </c>
      <c r="O38" s="668" t="s">
        <v>238</v>
      </c>
      <c r="P38" s="668" t="s">
        <v>260</v>
      </c>
      <c r="Q38" s="668" t="s">
        <v>261</v>
      </c>
      <c r="R38" s="669" t="s">
        <v>235</v>
      </c>
      <c r="S38" s="592"/>
      <c r="T38" s="667" t="s">
        <v>348</v>
      </c>
      <c r="U38" s="668" t="s">
        <v>238</v>
      </c>
      <c r="V38" s="668" t="s">
        <v>260</v>
      </c>
      <c r="W38" s="668" t="s">
        <v>261</v>
      </c>
      <c r="X38" s="669" t="s">
        <v>235</v>
      </c>
      <c r="Y38" s="592"/>
      <c r="Z38" s="667" t="s">
        <v>348</v>
      </c>
      <c r="AA38" s="668" t="s">
        <v>238</v>
      </c>
      <c r="AB38" s="668" t="s">
        <v>260</v>
      </c>
      <c r="AC38" s="668" t="s">
        <v>261</v>
      </c>
      <c r="AD38" s="669" t="s">
        <v>235</v>
      </c>
      <c r="AE38" s="592"/>
      <c r="AF38" s="592"/>
    </row>
    <row r="39" spans="3:40" ht="19.3" thickTop="1" thickBot="1">
      <c r="C39" s="716" t="s">
        <v>131</v>
      </c>
      <c r="D39" s="761" t="s">
        <v>348</v>
      </c>
      <c r="E39" s="696">
        <v>0</v>
      </c>
      <c r="F39" s="697">
        <v>1</v>
      </c>
      <c r="G39" s="697">
        <v>2</v>
      </c>
      <c r="H39" s="698">
        <v>15</v>
      </c>
      <c r="I39" s="699">
        <v>17</v>
      </c>
      <c r="J39" s="23"/>
      <c r="K39" s="592"/>
      <c r="L39" s="592"/>
      <c r="M39" s="682" t="s">
        <v>1056</v>
      </c>
      <c r="N39" s="680">
        <v>1</v>
      </c>
      <c r="O39" s="673">
        <v>2</v>
      </c>
      <c r="P39" s="673">
        <v>3</v>
      </c>
      <c r="Q39" s="673">
        <v>4</v>
      </c>
      <c r="R39" s="673">
        <v>5</v>
      </c>
      <c r="S39" s="728"/>
      <c r="T39" s="673">
        <v>1</v>
      </c>
      <c r="U39" s="673">
        <v>2</v>
      </c>
      <c r="V39" s="673">
        <v>3</v>
      </c>
      <c r="W39" s="673">
        <v>4</v>
      </c>
      <c r="X39" s="675">
        <v>5</v>
      </c>
      <c r="Y39" s="592"/>
      <c r="Z39" s="673">
        <v>1</v>
      </c>
      <c r="AA39" s="673">
        <v>2</v>
      </c>
      <c r="AB39" s="673">
        <v>3</v>
      </c>
      <c r="AC39" s="673">
        <v>4</v>
      </c>
      <c r="AD39" s="673">
        <v>5</v>
      </c>
      <c r="AE39" s="592"/>
      <c r="AF39" s="592"/>
    </row>
    <row r="40" spans="3:40" ht="15" thickTop="1">
      <c r="F40" s="23"/>
      <c r="G40" s="23"/>
      <c r="H40" s="23"/>
      <c r="I40" s="23"/>
      <c r="J40" s="23"/>
      <c r="K40" s="592"/>
      <c r="L40" s="160" t="s">
        <v>235</v>
      </c>
      <c r="M40" s="681">
        <v>5</v>
      </c>
      <c r="N40" s="658" t="s">
        <v>1062</v>
      </c>
      <c r="O40" s="676" t="s">
        <v>1065</v>
      </c>
      <c r="P40" s="659" t="s">
        <v>1066</v>
      </c>
      <c r="Q40" s="653" t="s">
        <v>1067</v>
      </c>
      <c r="R40" s="666" t="s">
        <v>1043</v>
      </c>
      <c r="S40" s="670" t="s">
        <v>235</v>
      </c>
      <c r="T40" s="614" t="s">
        <v>348</v>
      </c>
      <c r="U40" s="611" t="s">
        <v>238</v>
      </c>
      <c r="V40" s="608" t="s">
        <v>260</v>
      </c>
      <c r="W40" s="606" t="s">
        <v>261</v>
      </c>
      <c r="X40" s="601" t="s">
        <v>235</v>
      </c>
      <c r="Y40" s="674">
        <v>5</v>
      </c>
      <c r="Z40" s="740">
        <v>4</v>
      </c>
      <c r="AA40" s="741">
        <v>18</v>
      </c>
      <c r="AB40" s="684">
        <v>75</v>
      </c>
      <c r="AC40" s="685">
        <v>91</v>
      </c>
      <c r="AD40" s="687">
        <v>100</v>
      </c>
      <c r="AE40" s="592"/>
      <c r="AF40" s="592"/>
    </row>
    <row r="41" spans="3:40" ht="15.75" customHeight="1">
      <c r="F41" s="23"/>
      <c r="G41" s="23"/>
      <c r="H41" s="23"/>
      <c r="I41" s="23"/>
      <c r="K41" s="592"/>
      <c r="L41" s="597" t="s">
        <v>261</v>
      </c>
      <c r="M41" s="674">
        <v>4</v>
      </c>
      <c r="N41" s="654" t="s">
        <v>1063</v>
      </c>
      <c r="O41" s="677" t="s">
        <v>1035</v>
      </c>
      <c r="P41" s="677" t="s">
        <v>1040</v>
      </c>
      <c r="Q41" s="660" t="s">
        <v>1041</v>
      </c>
      <c r="R41" s="656" t="s">
        <v>1044</v>
      </c>
      <c r="S41" s="671" t="s">
        <v>261</v>
      </c>
      <c r="T41" s="614" t="s">
        <v>348</v>
      </c>
      <c r="U41" s="611" t="s">
        <v>238</v>
      </c>
      <c r="V41" s="608" t="s">
        <v>260</v>
      </c>
      <c r="W41" s="606" t="s">
        <v>261</v>
      </c>
      <c r="X41" s="602" t="s">
        <v>235</v>
      </c>
      <c r="Y41" s="674">
        <v>4</v>
      </c>
      <c r="Z41" s="694">
        <v>3</v>
      </c>
      <c r="AA41" s="692">
        <v>17</v>
      </c>
      <c r="AB41" s="689">
        <v>60</v>
      </c>
      <c r="AC41" s="690">
        <v>88</v>
      </c>
      <c r="AD41" s="691">
        <v>99</v>
      </c>
      <c r="AE41" s="592"/>
      <c r="AF41" s="592"/>
    </row>
    <row r="42" spans="3:40" ht="21" thickBot="1">
      <c r="D42" s="753" t="s">
        <v>1084</v>
      </c>
      <c r="K42" s="592"/>
      <c r="L42" s="597" t="s">
        <v>260</v>
      </c>
      <c r="M42" s="674">
        <v>3</v>
      </c>
      <c r="N42" s="662" t="s">
        <v>1064</v>
      </c>
      <c r="O42" s="655" t="s">
        <v>1036</v>
      </c>
      <c r="P42" s="677" t="s">
        <v>1039</v>
      </c>
      <c r="Q42" s="677" t="s">
        <v>1040</v>
      </c>
      <c r="R42" s="661" t="s">
        <v>1041</v>
      </c>
      <c r="S42" s="671" t="s">
        <v>260</v>
      </c>
      <c r="T42" s="614" t="s">
        <v>348</v>
      </c>
      <c r="U42" s="611" t="s">
        <v>238</v>
      </c>
      <c r="V42" s="608" t="s">
        <v>260</v>
      </c>
      <c r="W42" s="608" t="s">
        <v>260</v>
      </c>
      <c r="X42" s="607" t="s">
        <v>261</v>
      </c>
      <c r="Y42" s="674">
        <v>3</v>
      </c>
      <c r="Z42" s="694">
        <v>2</v>
      </c>
      <c r="AA42" s="692">
        <v>15</v>
      </c>
      <c r="AB42" s="689">
        <v>51</v>
      </c>
      <c r="AC42" s="689">
        <v>60</v>
      </c>
      <c r="AD42" s="693">
        <v>88</v>
      </c>
      <c r="AE42" s="592"/>
      <c r="AF42" s="592"/>
    </row>
    <row r="43" spans="3:40" ht="15" thickTop="1">
      <c r="D43" s="2427" t="s">
        <v>939</v>
      </c>
      <c r="E43" s="2430" t="s">
        <v>940</v>
      </c>
      <c r="F43" s="2431"/>
      <c r="G43" s="2431"/>
      <c r="H43" s="2431"/>
      <c r="I43" s="2432"/>
      <c r="K43" s="592"/>
      <c r="L43" s="597" t="s">
        <v>238</v>
      </c>
      <c r="M43" s="674">
        <v>2</v>
      </c>
      <c r="N43" s="654" t="s">
        <v>1038</v>
      </c>
      <c r="O43" s="663" t="s">
        <v>1037</v>
      </c>
      <c r="P43" s="655" t="s">
        <v>1036</v>
      </c>
      <c r="Q43" s="677" t="s">
        <v>1035</v>
      </c>
      <c r="R43" s="678" t="s">
        <v>1040</v>
      </c>
      <c r="S43" s="671" t="s">
        <v>238</v>
      </c>
      <c r="T43" s="614" t="s">
        <v>348</v>
      </c>
      <c r="U43" s="611" t="s">
        <v>238</v>
      </c>
      <c r="V43" s="611" t="s">
        <v>238</v>
      </c>
      <c r="W43" s="611" t="s">
        <v>238</v>
      </c>
      <c r="X43" s="600" t="s">
        <v>260</v>
      </c>
      <c r="Y43" s="674">
        <v>2</v>
      </c>
      <c r="Z43" s="694">
        <v>1</v>
      </c>
      <c r="AA43" s="692">
        <v>13</v>
      </c>
      <c r="AB43" s="692">
        <v>15</v>
      </c>
      <c r="AC43" s="692">
        <v>17</v>
      </c>
      <c r="AD43" s="695">
        <v>60</v>
      </c>
      <c r="AE43" s="592"/>
      <c r="AF43" s="592"/>
    </row>
    <row r="44" spans="3:40" ht="15" thickBot="1">
      <c r="D44" s="2428"/>
      <c r="E44" s="2433"/>
      <c r="F44" s="2434"/>
      <c r="G44" s="2434"/>
      <c r="H44" s="2434"/>
      <c r="I44" s="2435"/>
      <c r="K44" s="592"/>
      <c r="L44" s="598" t="s">
        <v>348</v>
      </c>
      <c r="M44" s="674">
        <v>1</v>
      </c>
      <c r="N44" s="665" t="s">
        <v>1045</v>
      </c>
      <c r="O44" s="657" t="s">
        <v>1038</v>
      </c>
      <c r="P44" s="664" t="s">
        <v>1064</v>
      </c>
      <c r="Q44" s="657" t="s">
        <v>1036</v>
      </c>
      <c r="R44" s="679" t="s">
        <v>1035</v>
      </c>
      <c r="S44" s="672" t="s">
        <v>348</v>
      </c>
      <c r="T44" s="615" t="s">
        <v>348</v>
      </c>
      <c r="U44" s="616" t="s">
        <v>348</v>
      </c>
      <c r="V44" s="614" t="s">
        <v>348</v>
      </c>
      <c r="W44" s="612" t="s">
        <v>238</v>
      </c>
      <c r="X44" s="613" t="s">
        <v>238</v>
      </c>
      <c r="Y44" s="674">
        <v>1</v>
      </c>
      <c r="Z44" s="696">
        <v>0</v>
      </c>
      <c r="AA44" s="697">
        <v>1</v>
      </c>
      <c r="AB44" s="697">
        <v>2</v>
      </c>
      <c r="AC44" s="698">
        <v>15</v>
      </c>
      <c r="AD44" s="699">
        <v>17</v>
      </c>
      <c r="AE44" s="592"/>
      <c r="AF44" s="592"/>
    </row>
    <row r="45" spans="3:40" ht="15.9" thickTop="1" thickBot="1">
      <c r="D45" s="2428"/>
      <c r="E45" s="716" t="s">
        <v>131</v>
      </c>
      <c r="F45" s="704" t="s">
        <v>130</v>
      </c>
      <c r="G45" s="704" t="s">
        <v>129</v>
      </c>
      <c r="H45" s="704" t="s">
        <v>128</v>
      </c>
      <c r="I45" s="705" t="s">
        <v>145</v>
      </c>
      <c r="K45" s="592"/>
      <c r="L45" s="592"/>
      <c r="M45" s="592"/>
      <c r="N45" s="592"/>
      <c r="O45" s="592"/>
      <c r="P45" s="592"/>
      <c r="Q45" s="592"/>
      <c r="R45" s="592"/>
      <c r="S45" s="592"/>
      <c r="T45" s="592"/>
      <c r="U45" s="592"/>
      <c r="V45" s="592"/>
      <c r="W45" s="592"/>
      <c r="X45" s="592"/>
      <c r="Y45" s="592"/>
      <c r="Z45" s="592"/>
      <c r="AA45" s="592"/>
      <c r="AB45" s="592"/>
      <c r="AC45" s="592"/>
      <c r="AD45" s="592"/>
      <c r="AE45" s="592"/>
      <c r="AF45" s="592"/>
    </row>
    <row r="46" spans="3:40" ht="15.45" thickTop="1" thickBot="1">
      <c r="D46" s="2429"/>
      <c r="E46" s="599" t="s">
        <v>348</v>
      </c>
      <c r="F46" s="484" t="s">
        <v>238</v>
      </c>
      <c r="G46" s="484" t="s">
        <v>260</v>
      </c>
      <c r="H46" s="484" t="s">
        <v>261</v>
      </c>
      <c r="I46" s="485" t="s">
        <v>235</v>
      </c>
      <c r="K46" s="23"/>
    </row>
    <row r="47" spans="3:40" ht="15.9" thickTop="1" thickBot="1">
      <c r="C47" s="705" t="s">
        <v>145</v>
      </c>
      <c r="D47" s="160" t="s">
        <v>235</v>
      </c>
      <c r="E47" s="740"/>
      <c r="F47" s="741"/>
      <c r="G47" s="684"/>
      <c r="H47" s="685"/>
      <c r="I47" s="687"/>
    </row>
    <row r="48" spans="3:40" ht="15.45" thickTop="1">
      <c r="C48" s="704" t="s">
        <v>128</v>
      </c>
      <c r="D48" s="597" t="s">
        <v>261</v>
      </c>
      <c r="E48" s="694"/>
      <c r="F48" s="692"/>
      <c r="G48" s="689"/>
      <c r="H48" s="690"/>
      <c r="I48" s="691"/>
    </row>
    <row r="49" spans="3:45" ht="15">
      <c r="C49" s="704" t="s">
        <v>129</v>
      </c>
      <c r="D49" s="597" t="s">
        <v>260</v>
      </c>
      <c r="E49" s="694"/>
      <c r="F49" s="692"/>
      <c r="G49" s="689"/>
      <c r="H49" s="689"/>
      <c r="I49" s="693"/>
    </row>
    <row r="50" spans="3:45" ht="15.45" thickBot="1">
      <c r="C50" s="704" t="s">
        <v>130</v>
      </c>
      <c r="D50" s="597" t="s">
        <v>238</v>
      </c>
      <c r="E50" s="694"/>
      <c r="F50" s="692"/>
      <c r="G50" s="692"/>
      <c r="H50" s="692"/>
      <c r="I50" s="695"/>
    </row>
    <row r="51" spans="3:45" ht="15.9" thickTop="1" thickBot="1">
      <c r="C51" s="716" t="s">
        <v>131</v>
      </c>
      <c r="D51" s="598" t="s">
        <v>348</v>
      </c>
      <c r="E51" s="696"/>
      <c r="F51" s="697"/>
      <c r="G51" s="697"/>
      <c r="H51" s="698"/>
      <c r="I51" s="699"/>
    </row>
    <row r="52" spans="3:45" ht="15" thickTop="1"/>
    <row r="62" spans="3:45">
      <c r="AS62">
        <v>7</v>
      </c>
    </row>
    <row r="71" spans="6:11">
      <c r="J71" s="23"/>
      <c r="K71" s="23"/>
    </row>
    <row r="72" spans="6:11">
      <c r="F72" s="23"/>
      <c r="G72" s="23"/>
      <c r="H72" s="23"/>
      <c r="I72" s="23"/>
      <c r="J72" s="23"/>
    </row>
    <row r="73" spans="6:11">
      <c r="F73" s="23"/>
      <c r="G73" s="23"/>
      <c r="H73" s="23"/>
      <c r="I73" s="23"/>
    </row>
    <row r="111" spans="8:8">
      <c r="H111" s="1112"/>
    </row>
    <row r="139" spans="6:6">
      <c r="F139" s="1113"/>
    </row>
  </sheetData>
  <mergeCells count="41">
    <mergeCell ref="J7:P7"/>
    <mergeCell ref="J8:P8"/>
    <mergeCell ref="J9:P9"/>
    <mergeCell ref="X26:Y26"/>
    <mergeCell ref="AA26:AB26"/>
    <mergeCell ref="AD26:AE26"/>
    <mergeCell ref="AD28:AE28"/>
    <mergeCell ref="AD30:AE30"/>
    <mergeCell ref="AD32:AE32"/>
    <mergeCell ref="AD34:AE34"/>
    <mergeCell ref="X32:Y32"/>
    <mergeCell ref="AA32:AB32"/>
    <mergeCell ref="R32:S32"/>
    <mergeCell ref="AI27:AI31"/>
    <mergeCell ref="D43:D46"/>
    <mergeCell ref="O34:P34"/>
    <mergeCell ref="R34:S34"/>
    <mergeCell ref="U34:V34"/>
    <mergeCell ref="X34:Y34"/>
    <mergeCell ref="AA34:AB34"/>
    <mergeCell ref="X30:Y30"/>
    <mergeCell ref="AA30:AB30"/>
    <mergeCell ref="O32:P32"/>
    <mergeCell ref="X28:Y28"/>
    <mergeCell ref="AA28:AB28"/>
    <mergeCell ref="AJ27:AN29"/>
    <mergeCell ref="E30:I32"/>
    <mergeCell ref="E43:I44"/>
    <mergeCell ref="D19:D22"/>
    <mergeCell ref="D30:D34"/>
    <mergeCell ref="U26:V26"/>
    <mergeCell ref="E19:I20"/>
    <mergeCell ref="O26:P26"/>
    <mergeCell ref="R26:S26"/>
    <mergeCell ref="O30:P30"/>
    <mergeCell ref="R30:S30"/>
    <mergeCell ref="U30:V30"/>
    <mergeCell ref="O28:P28"/>
    <mergeCell ref="R28:S28"/>
    <mergeCell ref="U28:V28"/>
    <mergeCell ref="U32:V32"/>
  </mergeCells>
  <dataValidations count="2">
    <dataValidation type="list" allowBlank="1" showInputMessage="1" showErrorMessage="1" sqref="E14" xr:uid="{00000000-0002-0000-1F00-000000000000}">
      <formula1>$C$23:$C$27</formula1>
    </dataValidation>
    <dataValidation type="list" allowBlank="1" showInputMessage="1" showErrorMessage="1" sqref="G14" xr:uid="{00000000-0002-0000-1F00-000001000000}">
      <formula1>$E$21:$I$21</formula1>
    </dataValidation>
  </dataValidations>
  <pageMargins left="0.7" right="0.7" top="0.75" bottom="0.75" header="0.3" footer="0.3"/>
  <pageSetup orientation="portrait" verticalDpi="0" r:id="rId1"/>
  <drawing r:id="rId2"/>
  <legacyDrawing r:id="rId3"/>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rgb="FF00FF00"/>
  </sheetPr>
  <dimension ref="B3:P136"/>
  <sheetViews>
    <sheetView workbookViewId="0"/>
  </sheetViews>
  <sheetFormatPr defaultRowHeight="14.6"/>
  <cols>
    <col min="2" max="18" width="26.69140625" customWidth="1"/>
  </cols>
  <sheetData>
    <row r="3" ht="20.149999999999999" customHeight="1"/>
    <row r="4" ht="20.149999999999999" customHeight="1"/>
    <row r="5" ht="20.149999999999999" customHeight="1"/>
    <row r="6" ht="20.149999999999999" customHeight="1"/>
    <row r="7" ht="20.149999999999999" customHeight="1"/>
    <row r="8" ht="20.149999999999999" customHeight="1"/>
    <row r="9" ht="20.149999999999999" customHeight="1"/>
    <row r="10" ht="20.149999999999999" customHeight="1"/>
    <row r="11" ht="20.149999999999999" customHeight="1"/>
    <row r="12" ht="20.149999999999999" customHeight="1"/>
    <row r="13" ht="20.149999999999999" customHeight="1"/>
    <row r="14" ht="20.149999999999999" customHeight="1"/>
    <row r="15" ht="20.149999999999999" customHeight="1"/>
    <row r="16" ht="20.149999999999999" customHeight="1"/>
    <row r="17" spans="2:15" ht="20.149999999999999" customHeight="1" thickBot="1">
      <c r="E17" s="769" t="s">
        <v>1110</v>
      </c>
      <c r="F17" s="769" t="s">
        <v>1111</v>
      </c>
      <c r="G17" s="769" t="s">
        <v>1102</v>
      </c>
      <c r="H17" s="769"/>
      <c r="I17" s="769" t="s">
        <v>1106</v>
      </c>
      <c r="J17" s="769"/>
      <c r="K17" s="769" t="s">
        <v>1107</v>
      </c>
      <c r="L17" s="769"/>
      <c r="M17" s="769" t="s">
        <v>1108</v>
      </c>
      <c r="N17" s="769"/>
      <c r="O17" s="769" t="s">
        <v>1109</v>
      </c>
    </row>
    <row r="18" spans="2:15" ht="20.149999999999999" customHeight="1" thickTop="1">
      <c r="F18" s="2427" t="s">
        <v>939</v>
      </c>
      <c r="G18" s="2430" t="s">
        <v>940</v>
      </c>
      <c r="H18" s="2431"/>
      <c r="I18" s="2431"/>
      <c r="J18" s="2431"/>
      <c r="K18" s="2431"/>
      <c r="L18" s="2431"/>
      <c r="M18" s="2431"/>
      <c r="N18" s="2431"/>
      <c r="O18" s="2432"/>
    </row>
    <row r="19" spans="2:15" ht="20.149999999999999" customHeight="1" thickBot="1">
      <c r="F19" s="2428"/>
      <c r="G19" s="2433"/>
      <c r="H19" s="2434"/>
      <c r="I19" s="2434"/>
      <c r="J19" s="2434"/>
      <c r="K19" s="2434"/>
      <c r="L19" s="2434"/>
      <c r="M19" s="2434"/>
      <c r="N19" s="2434"/>
      <c r="O19" s="2435"/>
    </row>
    <row r="20" spans="2:15" ht="20.149999999999999" customHeight="1" thickTop="1" thickBot="1">
      <c r="F20" s="2428"/>
      <c r="G20" s="716" t="s">
        <v>131</v>
      </c>
      <c r="H20" s="938"/>
      <c r="I20" s="704" t="s">
        <v>130</v>
      </c>
      <c r="J20" s="40"/>
      <c r="K20" s="704" t="s">
        <v>129</v>
      </c>
      <c r="L20" s="40"/>
      <c r="M20" s="704" t="s">
        <v>128</v>
      </c>
      <c r="N20" s="940"/>
      <c r="O20" s="705" t="s">
        <v>145</v>
      </c>
    </row>
    <row r="21" spans="2:15" ht="20.149999999999999" customHeight="1" thickTop="1" thickBot="1">
      <c r="F21" s="2429"/>
      <c r="G21" s="700" t="s">
        <v>348</v>
      </c>
      <c r="H21" s="599"/>
      <c r="I21" s="763" t="s">
        <v>238</v>
      </c>
      <c r="J21" s="484"/>
      <c r="K21" s="701" t="s">
        <v>260</v>
      </c>
      <c r="L21" s="484"/>
      <c r="M21" s="702" t="s">
        <v>261</v>
      </c>
      <c r="N21" s="999"/>
      <c r="O21" s="703" t="s">
        <v>235</v>
      </c>
    </row>
    <row r="22" spans="2:15" ht="20.149999999999999" customHeight="1" thickTop="1" thickBot="1">
      <c r="E22" s="705" t="s">
        <v>145</v>
      </c>
      <c r="F22" s="767" t="s">
        <v>235</v>
      </c>
      <c r="G22" s="775" t="s">
        <v>348</v>
      </c>
      <c r="H22" s="989"/>
      <c r="I22" s="611" t="s">
        <v>238</v>
      </c>
      <c r="J22" s="983"/>
      <c r="K22" s="608" t="s">
        <v>260</v>
      </c>
      <c r="L22" s="984"/>
      <c r="M22" s="607" t="s">
        <v>261</v>
      </c>
      <c r="N22" s="985"/>
      <c r="O22" s="601" t="s">
        <v>235</v>
      </c>
    </row>
    <row r="23" spans="2:15" ht="20.149999999999999" customHeight="1" thickTop="1">
      <c r="E23" s="704" t="s">
        <v>128</v>
      </c>
      <c r="F23" s="766" t="s">
        <v>261</v>
      </c>
      <c r="G23" s="614" t="s">
        <v>348</v>
      </c>
      <c r="H23" s="990"/>
      <c r="I23" s="611" t="s">
        <v>238</v>
      </c>
      <c r="J23" s="983"/>
      <c r="K23" s="608" t="s">
        <v>260</v>
      </c>
      <c r="L23" s="983"/>
      <c r="M23" s="606" t="s">
        <v>261</v>
      </c>
      <c r="N23" s="984"/>
      <c r="O23" s="602" t="s">
        <v>235</v>
      </c>
    </row>
    <row r="24" spans="2:15" ht="20.149999999999999" customHeight="1">
      <c r="E24" s="704" t="s">
        <v>129</v>
      </c>
      <c r="F24" s="765" t="s">
        <v>260</v>
      </c>
      <c r="G24" s="614" t="s">
        <v>348</v>
      </c>
      <c r="H24" s="990"/>
      <c r="I24" s="611" t="s">
        <v>238</v>
      </c>
      <c r="J24" s="983"/>
      <c r="K24" s="608" t="s">
        <v>260</v>
      </c>
      <c r="L24" s="983"/>
      <c r="M24" s="608" t="s">
        <v>260</v>
      </c>
      <c r="N24" s="984"/>
      <c r="O24" s="607" t="s">
        <v>261</v>
      </c>
    </row>
    <row r="25" spans="2:15" ht="20.149999999999999" customHeight="1" thickBot="1">
      <c r="E25" s="704" t="s">
        <v>130</v>
      </c>
      <c r="F25" s="764" t="s">
        <v>238</v>
      </c>
      <c r="G25" s="614" t="s">
        <v>348</v>
      </c>
      <c r="H25" s="990"/>
      <c r="I25" s="611" t="s">
        <v>238</v>
      </c>
      <c r="J25" s="983"/>
      <c r="K25" s="611" t="s">
        <v>238</v>
      </c>
      <c r="L25" s="983"/>
      <c r="M25" s="611" t="s">
        <v>238</v>
      </c>
      <c r="N25" s="984"/>
      <c r="O25" s="600" t="s">
        <v>260</v>
      </c>
    </row>
    <row r="26" spans="2:15" ht="20.149999999999999" customHeight="1" thickTop="1" thickBot="1">
      <c r="E26" s="716" t="s">
        <v>131</v>
      </c>
      <c r="F26" s="761" t="s">
        <v>348</v>
      </c>
      <c r="G26" s="615" t="s">
        <v>348</v>
      </c>
      <c r="H26" s="991"/>
      <c r="I26" s="616" t="s">
        <v>348</v>
      </c>
      <c r="J26" s="994"/>
      <c r="K26" s="616" t="s">
        <v>348</v>
      </c>
      <c r="L26" s="994"/>
      <c r="M26" s="612" t="s">
        <v>238</v>
      </c>
      <c r="N26" s="1000"/>
      <c r="O26" s="613" t="s">
        <v>238</v>
      </c>
    </row>
    <row r="27" spans="2:15" ht="20.149999999999999" customHeight="1" thickTop="1">
      <c r="I27" s="23"/>
      <c r="J27" s="23"/>
      <c r="K27" s="23"/>
      <c r="L27" s="23"/>
      <c r="M27" s="23"/>
      <c r="N27" s="23"/>
      <c r="O27" s="23"/>
    </row>
    <row r="28" spans="2:15" ht="20.149999999999999" customHeight="1" thickBot="1">
      <c r="E28" s="770" t="s">
        <v>1110</v>
      </c>
      <c r="F28" s="770" t="s">
        <v>1111</v>
      </c>
      <c r="G28" s="769" t="s">
        <v>1102</v>
      </c>
      <c r="H28" s="769"/>
      <c r="I28" s="769" t="s">
        <v>1106</v>
      </c>
      <c r="J28" s="769"/>
      <c r="K28" s="769" t="s">
        <v>1107</v>
      </c>
      <c r="L28" s="769"/>
      <c r="M28" s="769" t="s">
        <v>1108</v>
      </c>
      <c r="N28" s="769"/>
      <c r="O28" s="769" t="s">
        <v>1109</v>
      </c>
    </row>
    <row r="29" spans="2:15" ht="20.149999999999999" customHeight="1" thickTop="1" thickBot="1">
      <c r="B29" s="1076" t="s">
        <v>1348</v>
      </c>
      <c r="C29" s="1080">
        <v>4</v>
      </c>
      <c r="D29" s="1100">
        <f>AVERAGE(C29,C30)</f>
        <v>11</v>
      </c>
      <c r="F29" s="2427" t="s">
        <v>939</v>
      </c>
      <c r="G29" s="2430" t="s">
        <v>940</v>
      </c>
      <c r="H29" s="2431"/>
      <c r="I29" s="2431"/>
      <c r="J29" s="2431"/>
      <c r="K29" s="2431"/>
      <c r="L29" s="2431"/>
      <c r="M29" s="2431"/>
      <c r="N29" s="2431"/>
      <c r="O29" s="2432"/>
    </row>
    <row r="30" spans="2:15" ht="20.149999999999999" customHeight="1" thickTop="1" thickBot="1">
      <c r="B30" s="1076" t="s">
        <v>1349</v>
      </c>
      <c r="C30" s="1078">
        <v>18</v>
      </c>
      <c r="D30" s="1110" t="s">
        <v>1429</v>
      </c>
      <c r="F30" s="2428"/>
      <c r="G30" s="2433"/>
      <c r="H30" s="2434"/>
      <c r="I30" s="2434"/>
      <c r="J30" s="2434"/>
      <c r="K30" s="2434"/>
      <c r="L30" s="2434"/>
      <c r="M30" s="2434"/>
      <c r="N30" s="2434"/>
      <c r="O30" s="2435"/>
    </row>
    <row r="31" spans="2:15" ht="20.149999999999999" customHeight="1" thickTop="1" thickBot="1">
      <c r="B31" s="1109"/>
      <c r="D31" s="1111"/>
      <c r="F31" s="2428"/>
      <c r="G31" s="2433"/>
      <c r="H31" s="2434"/>
      <c r="I31" s="2434"/>
      <c r="J31" s="2434"/>
      <c r="K31" s="2434"/>
      <c r="L31" s="2434"/>
      <c r="M31" s="2434"/>
      <c r="N31" s="2434"/>
      <c r="O31" s="2435"/>
    </row>
    <row r="32" spans="2:15" ht="20.149999999999999" customHeight="1" thickTop="1" thickBot="1">
      <c r="B32" s="1081" t="s">
        <v>1425</v>
      </c>
      <c r="C32" s="1099">
        <v>11</v>
      </c>
      <c r="D32" s="1082" t="s">
        <v>1414</v>
      </c>
      <c r="F32" s="2428"/>
      <c r="G32" s="982" t="s">
        <v>1345</v>
      </c>
      <c r="H32" s="939">
        <v>5</v>
      </c>
      <c r="I32" s="982" t="s">
        <v>1098</v>
      </c>
      <c r="J32" s="197">
        <v>21</v>
      </c>
      <c r="K32" s="982" t="s">
        <v>1099</v>
      </c>
      <c r="L32" s="197">
        <v>80</v>
      </c>
      <c r="M32" s="982" t="s">
        <v>1346</v>
      </c>
      <c r="N32" s="941">
        <v>96</v>
      </c>
      <c r="O32" s="982" t="s">
        <v>1347</v>
      </c>
    </row>
    <row r="33" spans="2:16" ht="20.149999999999999" customHeight="1" thickTop="1" thickBot="1">
      <c r="F33" s="2428"/>
      <c r="G33" s="1056" t="s">
        <v>1313</v>
      </c>
      <c r="H33" s="939"/>
      <c r="I33" s="1016" t="s">
        <v>1304</v>
      </c>
      <c r="K33" s="1057" t="s">
        <v>1305</v>
      </c>
      <c r="M33" s="1058" t="s">
        <v>1306</v>
      </c>
      <c r="O33" s="1059" t="s">
        <v>1307</v>
      </c>
    </row>
    <row r="34" spans="2:16" ht="20.149999999999999" customHeight="1" thickBot="1">
      <c r="F34" s="1088"/>
      <c r="G34" s="1089" t="s">
        <v>1406</v>
      </c>
      <c r="H34" s="1090"/>
      <c r="I34" s="1089" t="s">
        <v>1387</v>
      </c>
      <c r="J34" s="1090"/>
      <c r="K34" s="1089" t="s">
        <v>1388</v>
      </c>
      <c r="L34" s="1090"/>
      <c r="M34" s="1089" t="s">
        <v>1407</v>
      </c>
      <c r="N34" s="1090"/>
      <c r="O34" s="1089" t="s">
        <v>1377</v>
      </c>
      <c r="P34" s="1091"/>
    </row>
    <row r="35" spans="2:16" ht="20.149999999999999" customHeight="1" thickTop="1" thickBot="1">
      <c r="D35" s="705" t="s">
        <v>145</v>
      </c>
      <c r="E35" s="1048" t="s">
        <v>1350</v>
      </c>
      <c r="F35" s="1092" t="s">
        <v>1375</v>
      </c>
      <c r="G35" s="1081" t="s">
        <v>1425</v>
      </c>
      <c r="H35" s="1099">
        <v>11</v>
      </c>
      <c r="I35" s="1082" t="s">
        <v>1414</v>
      </c>
      <c r="J35" s="992">
        <v>46.5</v>
      </c>
      <c r="K35" s="684">
        <v>75</v>
      </c>
      <c r="L35" s="995">
        <v>83</v>
      </c>
      <c r="M35" s="685">
        <v>91</v>
      </c>
      <c r="N35" s="1001">
        <v>95.5</v>
      </c>
      <c r="O35" s="687">
        <v>100</v>
      </c>
      <c r="P35" s="1097" t="s">
        <v>1386</v>
      </c>
    </row>
    <row r="36" spans="2:16" ht="20.149999999999999" customHeight="1" thickTop="1">
      <c r="D36" s="940"/>
      <c r="E36" s="1049">
        <v>96</v>
      </c>
      <c r="F36" s="1093"/>
      <c r="G36" s="1003">
        <v>3.5</v>
      </c>
      <c r="H36" s="986"/>
      <c r="I36" s="948">
        <v>17.5</v>
      </c>
      <c r="J36" s="934"/>
      <c r="K36" s="948">
        <v>67.5</v>
      </c>
      <c r="L36" s="934"/>
      <c r="M36" s="948">
        <v>89.5</v>
      </c>
      <c r="N36" s="996"/>
      <c r="O36" s="1005">
        <v>99.5</v>
      </c>
      <c r="P36" s="1097"/>
    </row>
    <row r="37" spans="2:16" ht="20.149999999999999" customHeight="1">
      <c r="D37" s="704" t="s">
        <v>128</v>
      </c>
      <c r="E37" s="1050" t="s">
        <v>1309</v>
      </c>
      <c r="F37" s="1094" t="s">
        <v>1375</v>
      </c>
      <c r="G37" s="694">
        <v>3</v>
      </c>
      <c r="H37" s="987">
        <v>10</v>
      </c>
      <c r="I37" s="762">
        <v>17</v>
      </c>
      <c r="J37" s="935">
        <v>38.5</v>
      </c>
      <c r="K37" s="689" t="s">
        <v>1420</v>
      </c>
      <c r="L37" s="935">
        <v>74</v>
      </c>
      <c r="M37" s="690">
        <v>88</v>
      </c>
      <c r="N37" s="997">
        <v>93.5</v>
      </c>
      <c r="O37" s="691">
        <v>99</v>
      </c>
      <c r="P37" s="1097" t="s">
        <v>1386</v>
      </c>
    </row>
    <row r="38" spans="2:16" ht="20.149999999999999" customHeight="1" thickBot="1">
      <c r="D38" s="40"/>
      <c r="E38" s="1051">
        <v>80</v>
      </c>
      <c r="F38" s="1095"/>
      <c r="G38" s="942">
        <v>2.5</v>
      </c>
      <c r="H38" s="987"/>
      <c r="I38" s="949">
        <v>16</v>
      </c>
      <c r="J38" s="935"/>
      <c r="K38" s="950">
        <v>55.5</v>
      </c>
      <c r="L38" s="935"/>
      <c r="M38" s="949">
        <v>74</v>
      </c>
      <c r="N38" s="997"/>
      <c r="O38" s="1006">
        <v>93.5</v>
      </c>
      <c r="P38" s="1097"/>
    </row>
    <row r="39" spans="2:16" ht="20.149999999999999" customHeight="1" thickTop="1" thickBot="1">
      <c r="D39" s="704" t="s">
        <v>129</v>
      </c>
      <c r="E39" s="1052" t="s">
        <v>1310</v>
      </c>
      <c r="F39" s="1094" t="s">
        <v>1375</v>
      </c>
      <c r="G39" s="694">
        <v>2</v>
      </c>
      <c r="H39" s="987">
        <v>8.5</v>
      </c>
      <c r="I39" s="692">
        <v>15</v>
      </c>
      <c r="J39" s="997">
        <v>33</v>
      </c>
      <c r="K39" s="834" t="s">
        <v>1390</v>
      </c>
      <c r="L39" s="987">
        <v>55.5</v>
      </c>
      <c r="M39" s="689">
        <v>60</v>
      </c>
      <c r="N39" s="997">
        <v>74</v>
      </c>
      <c r="O39" s="693">
        <v>88</v>
      </c>
      <c r="P39" s="1097" t="s">
        <v>1385</v>
      </c>
    </row>
    <row r="40" spans="2:16" ht="20.149999999999999" customHeight="1" thickTop="1">
      <c r="D40" s="40"/>
      <c r="E40" s="1051">
        <v>21</v>
      </c>
      <c r="F40" s="1095"/>
      <c r="G40" s="942">
        <v>1.5</v>
      </c>
      <c r="H40" s="987"/>
      <c r="I40" s="949">
        <v>14</v>
      </c>
      <c r="J40" s="935"/>
      <c r="K40" s="948">
        <v>33</v>
      </c>
      <c r="L40" s="935"/>
      <c r="M40" s="949">
        <v>38.5</v>
      </c>
      <c r="N40" s="997"/>
      <c r="O40" s="1006">
        <v>74</v>
      </c>
      <c r="P40" s="1097"/>
    </row>
    <row r="41" spans="2:16" ht="20.149999999999999" customHeight="1">
      <c r="D41" s="704" t="s">
        <v>130</v>
      </c>
      <c r="E41" s="1053" t="s">
        <v>1311</v>
      </c>
      <c r="F41" s="1094" t="s">
        <v>1375</v>
      </c>
      <c r="G41" s="694">
        <v>1</v>
      </c>
      <c r="H41" s="987">
        <v>7</v>
      </c>
      <c r="I41" s="692" t="s">
        <v>1393</v>
      </c>
      <c r="J41" s="935">
        <v>14</v>
      </c>
      <c r="K41" s="692">
        <v>15</v>
      </c>
      <c r="L41" s="935">
        <v>16</v>
      </c>
      <c r="M41" s="692">
        <v>17</v>
      </c>
      <c r="N41" s="997">
        <v>38.5</v>
      </c>
      <c r="O41" s="695">
        <v>60</v>
      </c>
      <c r="P41" s="1097" t="s">
        <v>1384</v>
      </c>
    </row>
    <row r="42" spans="2:16" ht="20.149999999999999" customHeight="1" thickBot="1">
      <c r="D42" s="938"/>
      <c r="E42" s="1054">
        <v>5</v>
      </c>
      <c r="F42" s="1096"/>
      <c r="G42" s="1004">
        <v>0.5</v>
      </c>
      <c r="H42" s="988"/>
      <c r="I42" s="950">
        <v>7</v>
      </c>
      <c r="J42" s="936"/>
      <c r="K42" s="950">
        <v>8.5</v>
      </c>
      <c r="L42" s="936"/>
      <c r="M42" s="950">
        <v>16</v>
      </c>
      <c r="N42" s="998"/>
      <c r="O42" s="1007">
        <v>38.5</v>
      </c>
      <c r="P42" s="1097"/>
    </row>
    <row r="43" spans="2:16" ht="20.149999999999999" customHeight="1" thickTop="1" thickBot="1">
      <c r="D43" s="716" t="s">
        <v>131</v>
      </c>
      <c r="E43" s="1055" t="s">
        <v>1312</v>
      </c>
      <c r="F43" s="1094" t="s">
        <v>1375</v>
      </c>
      <c r="G43" s="696">
        <v>0</v>
      </c>
      <c r="H43" s="993">
        <v>0.5</v>
      </c>
      <c r="I43" s="697">
        <v>1</v>
      </c>
      <c r="J43" s="278">
        <v>1.5</v>
      </c>
      <c r="K43" s="697">
        <v>2</v>
      </c>
      <c r="L43" s="1002">
        <v>8.5</v>
      </c>
      <c r="M43" s="981" t="s">
        <v>1410</v>
      </c>
      <c r="N43" s="1008">
        <v>16</v>
      </c>
      <c r="O43" s="981" t="s">
        <v>1424</v>
      </c>
      <c r="P43" s="1098" t="s">
        <v>1383</v>
      </c>
    </row>
    <row r="44" spans="2:16" ht="20.149999999999999" customHeight="1" thickTop="1" thickBot="1">
      <c r="F44" s="1084"/>
      <c r="G44" s="1085" t="s">
        <v>1375</v>
      </c>
      <c r="H44" s="1086"/>
      <c r="I44" s="1085" t="s">
        <v>1375</v>
      </c>
      <c r="J44" s="1086"/>
      <c r="K44" s="1085" t="s">
        <v>1375</v>
      </c>
      <c r="L44" s="1086"/>
      <c r="M44" s="1085" t="s">
        <v>1376</v>
      </c>
      <c r="N44" s="1086"/>
      <c r="O44" s="1085" t="s">
        <v>1376</v>
      </c>
      <c r="P44" s="1087"/>
    </row>
    <row r="45" spans="2:16" ht="20.149999999999999" customHeight="1"/>
    <row r="46" spans="2:16" ht="20.149999999999999" customHeight="1" thickBot="1"/>
    <row r="47" spans="2:16" ht="21" customHeight="1" thickTop="1" thickBot="1">
      <c r="B47" s="254"/>
      <c r="C47" s="1017"/>
      <c r="D47" s="96" t="s">
        <v>1314</v>
      </c>
      <c r="E47" s="96"/>
      <c r="F47" s="96"/>
      <c r="G47" s="96"/>
      <c r="H47" s="2256" t="s">
        <v>1315</v>
      </c>
      <c r="I47" s="2257"/>
      <c r="J47" s="2257"/>
      <c r="K47" s="2258"/>
      <c r="L47" s="96"/>
      <c r="M47" s="97"/>
    </row>
    <row r="48" spans="2:16" ht="21" customHeight="1" thickTop="1" thickBot="1">
      <c r="B48" s="75"/>
      <c r="C48" s="1023" t="s">
        <v>1351</v>
      </c>
      <c r="D48" s="634" t="s">
        <v>1327</v>
      </c>
      <c r="E48" s="958" t="s">
        <v>1317</v>
      </c>
      <c r="F48" s="959">
        <v>51</v>
      </c>
      <c r="H48" s="962" t="s">
        <v>1320</v>
      </c>
      <c r="I48" s="963">
        <v>21</v>
      </c>
      <c r="J48" s="968" t="s">
        <v>1324</v>
      </c>
      <c r="K48" s="969">
        <v>33</v>
      </c>
      <c r="M48" s="88"/>
    </row>
    <row r="49" spans="2:13" ht="21" customHeight="1" thickBot="1">
      <c r="B49" s="75"/>
      <c r="C49" s="1023" t="s">
        <v>1352</v>
      </c>
      <c r="D49" s="634" t="s">
        <v>1328</v>
      </c>
      <c r="E49" s="960" t="s">
        <v>1318</v>
      </c>
      <c r="F49" s="961">
        <v>15</v>
      </c>
      <c r="H49" s="974" t="s">
        <v>1321</v>
      </c>
      <c r="I49" s="975">
        <v>75</v>
      </c>
      <c r="J49" s="972" t="s">
        <v>1325</v>
      </c>
      <c r="K49" s="973">
        <f>K48+(I51/100)*(K50-K48)</f>
        <v>53.593220338983052</v>
      </c>
      <c r="M49" s="88"/>
    </row>
    <row r="50" spans="2:13" ht="21" customHeight="1" thickTop="1" thickBot="1">
      <c r="B50" s="75"/>
      <c r="C50" s="45"/>
      <c r="E50" s="956" t="s">
        <v>1319</v>
      </c>
      <c r="F50" s="957">
        <f>(F48+F49)/2</f>
        <v>33</v>
      </c>
      <c r="H50" s="964" t="s">
        <v>1322</v>
      </c>
      <c r="I50" s="965">
        <v>80</v>
      </c>
      <c r="J50" s="970" t="s">
        <v>1326</v>
      </c>
      <c r="K50" s="976">
        <v>55.5</v>
      </c>
      <c r="L50" s="977" t="s">
        <v>293</v>
      </c>
      <c r="M50" s="88"/>
    </row>
    <row r="51" spans="2:13" ht="21" customHeight="1" thickTop="1" thickBot="1">
      <c r="B51" s="75"/>
      <c r="H51" s="966" t="s">
        <v>1323</v>
      </c>
      <c r="I51" s="967">
        <f>100*(I49-I48)/(I50-I48)</f>
        <v>91.525423728813564</v>
      </c>
      <c r="L51" s="1027" t="s">
        <v>1409</v>
      </c>
      <c r="M51" s="88"/>
    </row>
    <row r="52" spans="2:13" ht="21" customHeight="1" thickTop="1" thickBot="1">
      <c r="B52" s="75"/>
      <c r="C52" s="1009"/>
      <c r="D52" s="1010" t="s">
        <v>1360</v>
      </c>
      <c r="E52" s="97"/>
      <c r="L52" s="978">
        <f>SQRT(SUMSQ(K49,K55)/2)</f>
        <v>53.593220338983052</v>
      </c>
      <c r="M52" s="88"/>
    </row>
    <row r="53" spans="2:13" ht="21" customHeight="1" thickTop="1" thickBot="1">
      <c r="B53" s="75"/>
      <c r="C53" s="1011"/>
      <c r="D53" s="634">
        <v>55.5</v>
      </c>
      <c r="E53" s="88"/>
      <c r="H53" s="2256" t="s">
        <v>1316</v>
      </c>
      <c r="I53" s="2257"/>
      <c r="J53" s="2257"/>
      <c r="K53" s="2258"/>
      <c r="M53" s="88"/>
    </row>
    <row r="54" spans="2:13" ht="21" customHeight="1" thickTop="1" thickBot="1">
      <c r="B54" s="75"/>
      <c r="C54" s="1012" t="s">
        <v>1353</v>
      </c>
      <c r="D54" s="834" t="s">
        <v>1390</v>
      </c>
      <c r="E54" s="1013" t="s">
        <v>1408</v>
      </c>
      <c r="H54" s="962" t="s">
        <v>1320</v>
      </c>
      <c r="I54" s="963">
        <v>21</v>
      </c>
      <c r="J54" s="968" t="s">
        <v>1324</v>
      </c>
      <c r="K54" s="969">
        <v>33</v>
      </c>
      <c r="M54" s="88"/>
    </row>
    <row r="55" spans="2:13" ht="21" customHeight="1" thickTop="1" thickBot="1">
      <c r="B55" s="75"/>
      <c r="C55" s="1011"/>
      <c r="D55" s="634">
        <v>33</v>
      </c>
      <c r="E55" s="88"/>
      <c r="H55" s="974" t="s">
        <v>1321</v>
      </c>
      <c r="I55" s="975">
        <v>75</v>
      </c>
      <c r="J55" s="972" t="s">
        <v>1325</v>
      </c>
      <c r="K55" s="973">
        <f>K54+(I57/100)*(K56-K54)</f>
        <v>53.593220338983052</v>
      </c>
      <c r="M55" s="88"/>
    </row>
    <row r="56" spans="2:13" ht="21" customHeight="1" thickBot="1">
      <c r="B56" s="75"/>
      <c r="C56" s="1014"/>
      <c r="D56" s="980" t="s">
        <v>1360</v>
      </c>
      <c r="E56" s="807"/>
      <c r="H56" s="964" t="s">
        <v>1322</v>
      </c>
      <c r="I56" s="965">
        <v>80</v>
      </c>
      <c r="J56" s="970" t="s">
        <v>1326</v>
      </c>
      <c r="K56" s="971">
        <v>55.5</v>
      </c>
      <c r="M56" s="88"/>
    </row>
    <row r="57" spans="2:13" ht="21" customHeight="1" thickTop="1" thickBot="1">
      <c r="B57" s="75"/>
      <c r="C57" s="1024"/>
      <c r="D57" s="1025"/>
      <c r="E57" s="1025"/>
      <c r="F57" s="1025"/>
      <c r="G57" s="1025"/>
      <c r="H57" s="966" t="s">
        <v>1323</v>
      </c>
      <c r="I57" s="967">
        <f>100*(I55-I54)/(I56-I54)</f>
        <v>91.525423728813564</v>
      </c>
      <c r="M57" s="88"/>
    </row>
    <row r="58" spans="2:13" ht="21" customHeight="1" thickTop="1" thickBot="1">
      <c r="B58" s="92"/>
      <c r="C58" s="1026"/>
      <c r="D58" s="99"/>
      <c r="E58" s="99"/>
      <c r="F58" s="99"/>
      <c r="G58" s="99"/>
      <c r="H58" s="99"/>
      <c r="I58" s="99"/>
      <c r="J58" s="99"/>
      <c r="K58" s="99"/>
      <c r="L58" s="99"/>
      <c r="M58" s="807"/>
    </row>
    <row r="59" spans="2:13" ht="21" customHeight="1" thickTop="1" thickBot="1">
      <c r="C59" s="45"/>
    </row>
    <row r="60" spans="2:13" ht="21" customHeight="1" thickTop="1" thickBot="1">
      <c r="B60" s="254"/>
      <c r="C60" s="1017"/>
      <c r="D60" s="96" t="s">
        <v>1332</v>
      </c>
      <c r="E60" s="96"/>
      <c r="F60" s="96"/>
      <c r="G60" s="97"/>
      <c r="H60" s="2256" t="s">
        <v>1315</v>
      </c>
      <c r="I60" s="2257"/>
      <c r="J60" s="2257"/>
      <c r="K60" s="2258"/>
      <c r="L60" s="254"/>
      <c r="M60" s="97"/>
    </row>
    <row r="61" spans="2:13" ht="21" customHeight="1" thickTop="1" thickBot="1">
      <c r="B61" s="75"/>
      <c r="C61" s="45" t="s">
        <v>1333</v>
      </c>
      <c r="D61" s="1034" t="s">
        <v>1329</v>
      </c>
      <c r="E61" s="958" t="s">
        <v>1317</v>
      </c>
      <c r="F61" s="959">
        <v>51</v>
      </c>
      <c r="H61" s="962" t="s">
        <v>1320</v>
      </c>
      <c r="I61" s="963">
        <v>0</v>
      </c>
      <c r="J61" s="968" t="s">
        <v>1324</v>
      </c>
      <c r="K61" s="969">
        <v>8.5</v>
      </c>
      <c r="L61" s="75"/>
      <c r="M61" s="88"/>
    </row>
    <row r="62" spans="2:13" ht="21" customHeight="1" thickBot="1">
      <c r="B62" s="75"/>
      <c r="C62" s="45" t="s">
        <v>1334</v>
      </c>
      <c r="D62" s="634" t="s">
        <v>1330</v>
      </c>
      <c r="E62" s="960" t="s">
        <v>1318</v>
      </c>
      <c r="F62" s="961">
        <v>15</v>
      </c>
      <c r="H62" s="974" t="s">
        <v>1321</v>
      </c>
      <c r="I62" s="975">
        <v>4</v>
      </c>
      <c r="J62" s="972" t="s">
        <v>1325</v>
      </c>
      <c r="K62" s="973">
        <f>K61+(I64/100)*(K63-K61)</f>
        <v>14.5</v>
      </c>
      <c r="L62" s="75"/>
      <c r="M62" s="88"/>
    </row>
    <row r="63" spans="2:13" ht="21" customHeight="1" thickTop="1" thickBot="1">
      <c r="B63" s="75"/>
      <c r="C63" s="45"/>
      <c r="D63" s="6"/>
      <c r="E63" s="956" t="s">
        <v>1319</v>
      </c>
      <c r="F63" s="957">
        <f>(F61+F62)/2</f>
        <v>33</v>
      </c>
      <c r="H63" s="964" t="s">
        <v>1322</v>
      </c>
      <c r="I63" s="965">
        <v>5</v>
      </c>
      <c r="J63" s="970" t="s">
        <v>1326</v>
      </c>
      <c r="K63" s="976">
        <v>16</v>
      </c>
      <c r="L63" s="977" t="s">
        <v>293</v>
      </c>
      <c r="M63" s="88"/>
    </row>
    <row r="64" spans="2:13" ht="21" customHeight="1" thickTop="1" thickBot="1">
      <c r="B64" s="75"/>
      <c r="C64" s="45"/>
      <c r="H64" s="966" t="s">
        <v>1323</v>
      </c>
      <c r="I64" s="967">
        <f>100*(I62-I61)/(I63-I61)</f>
        <v>80</v>
      </c>
      <c r="L64" s="1031" t="s">
        <v>1413</v>
      </c>
      <c r="M64" s="1044"/>
    </row>
    <row r="65" spans="2:13" ht="21" customHeight="1" thickTop="1" thickBot="1">
      <c r="B65" s="75"/>
      <c r="C65" s="1009"/>
      <c r="D65" s="1010" t="s">
        <v>1360</v>
      </c>
      <c r="E65" s="97"/>
      <c r="L65" s="978">
        <f>SQRT(SUMSQ(K62,K68)/2)</f>
        <v>14.911784873884146</v>
      </c>
      <c r="M65" s="88"/>
    </row>
    <row r="66" spans="2:13" ht="21" customHeight="1" thickTop="1" thickBot="1">
      <c r="B66" s="75"/>
      <c r="C66" s="1011"/>
      <c r="D66" s="634">
        <v>16</v>
      </c>
      <c r="E66" s="88"/>
      <c r="H66" s="2256" t="s">
        <v>1316</v>
      </c>
      <c r="I66" s="2257"/>
      <c r="J66" s="2257"/>
      <c r="K66" s="2258"/>
      <c r="L66" s="75"/>
      <c r="M66" s="88"/>
    </row>
    <row r="67" spans="2:13" ht="21" customHeight="1" thickTop="1" thickBot="1">
      <c r="B67" s="75"/>
      <c r="C67" s="1012" t="s">
        <v>1411</v>
      </c>
      <c r="D67" s="981" t="s">
        <v>1391</v>
      </c>
      <c r="E67" s="1013" t="s">
        <v>1412</v>
      </c>
      <c r="H67" s="962" t="s">
        <v>1320</v>
      </c>
      <c r="I67" s="963">
        <v>80</v>
      </c>
      <c r="J67" s="968" t="s">
        <v>1324</v>
      </c>
      <c r="K67" s="969">
        <v>5</v>
      </c>
      <c r="L67" s="75"/>
      <c r="M67" s="88"/>
    </row>
    <row r="68" spans="2:13" ht="21" customHeight="1" thickTop="1" thickBot="1">
      <c r="B68" s="75"/>
      <c r="C68" s="1011"/>
      <c r="D68" s="1034" t="s">
        <v>1361</v>
      </c>
      <c r="E68" s="88"/>
      <c r="H68" s="974" t="s">
        <v>1321</v>
      </c>
      <c r="I68" s="975">
        <v>95</v>
      </c>
      <c r="J68" s="972" t="s">
        <v>1325</v>
      </c>
      <c r="K68" s="973">
        <f>K67+(I70/100)*(K69-K67)</f>
        <v>15.3125</v>
      </c>
      <c r="L68" s="75"/>
      <c r="M68" s="88"/>
    </row>
    <row r="69" spans="2:13" ht="21" customHeight="1" thickBot="1">
      <c r="B69" s="75"/>
      <c r="C69" s="1014"/>
      <c r="D69" s="980" t="s">
        <v>1360</v>
      </c>
      <c r="E69" s="807"/>
      <c r="H69" s="964" t="s">
        <v>1322</v>
      </c>
      <c r="I69" s="965">
        <v>96</v>
      </c>
      <c r="J69" s="970" t="s">
        <v>1326</v>
      </c>
      <c r="K69" s="971">
        <v>16</v>
      </c>
      <c r="L69" s="75"/>
      <c r="M69" s="88"/>
    </row>
    <row r="70" spans="2:13" ht="21" customHeight="1" thickTop="1" thickBot="1">
      <c r="B70" s="92"/>
      <c r="C70" s="1018"/>
      <c r="D70" s="1019"/>
      <c r="E70" s="1019"/>
      <c r="F70" s="1019"/>
      <c r="G70" s="1020"/>
      <c r="H70" s="966" t="s">
        <v>1323</v>
      </c>
      <c r="I70" s="967">
        <f>100*(I68-I67)/(I69-I67)</f>
        <v>93.75</v>
      </c>
      <c r="J70" s="894"/>
      <c r="K70" s="895"/>
      <c r="L70" s="99"/>
      <c r="M70" s="807"/>
    </row>
    <row r="71" spans="2:13" ht="21" customHeight="1" thickTop="1">
      <c r="C71" s="45"/>
    </row>
    <row r="72" spans="2:13" ht="21" customHeight="1" thickBot="1">
      <c r="C72" s="45"/>
    </row>
    <row r="73" spans="2:13" ht="21" customHeight="1" thickTop="1" thickBot="1">
      <c r="B73" s="254"/>
      <c r="C73" s="1017"/>
      <c r="D73" s="96" t="s">
        <v>1335</v>
      </c>
      <c r="E73" s="96"/>
      <c r="F73" s="96"/>
      <c r="G73" s="96"/>
      <c r="H73" s="2256" t="s">
        <v>1315</v>
      </c>
      <c r="I73" s="2257"/>
      <c r="J73" s="2257"/>
      <c r="K73" s="2258"/>
      <c r="L73" s="96"/>
      <c r="M73" s="97"/>
    </row>
    <row r="74" spans="2:13" ht="21" customHeight="1" thickTop="1" thickBot="1">
      <c r="B74" s="75"/>
      <c r="C74" s="45" t="s">
        <v>1101</v>
      </c>
      <c r="D74" t="s">
        <v>1336</v>
      </c>
      <c r="E74" s="958" t="s">
        <v>1317</v>
      </c>
      <c r="F74" s="959">
        <v>51</v>
      </c>
      <c r="H74" s="962" t="s">
        <v>1320</v>
      </c>
      <c r="I74" s="963">
        <v>96</v>
      </c>
      <c r="J74" s="968" t="s">
        <v>1324</v>
      </c>
      <c r="K74" s="969">
        <v>11</v>
      </c>
      <c r="M74" s="88"/>
    </row>
    <row r="75" spans="2:13" ht="21" customHeight="1" thickBot="1">
      <c r="B75" s="75"/>
      <c r="C75" s="45" t="s">
        <v>1337</v>
      </c>
      <c r="D75" s="26" t="s">
        <v>1338</v>
      </c>
      <c r="E75" s="960" t="s">
        <v>1318</v>
      </c>
      <c r="F75" s="961">
        <v>15</v>
      </c>
      <c r="G75" s="1021"/>
      <c r="H75" s="974" t="s">
        <v>1321</v>
      </c>
      <c r="I75" s="975">
        <v>96</v>
      </c>
      <c r="J75" s="972" t="s">
        <v>1325</v>
      </c>
      <c r="K75" s="973">
        <f>K74+(I77/100)*(K76-K74)</f>
        <v>11</v>
      </c>
      <c r="M75" s="88"/>
    </row>
    <row r="76" spans="2:13" ht="21" customHeight="1" thickTop="1" thickBot="1">
      <c r="B76" s="75"/>
      <c r="C76" s="45"/>
      <c r="D76" s="6"/>
      <c r="E76" s="956" t="s">
        <v>1319</v>
      </c>
      <c r="F76" s="957">
        <f>(F74+F75)/2</f>
        <v>33</v>
      </c>
      <c r="H76" s="964" t="s">
        <v>1322</v>
      </c>
      <c r="I76" s="965">
        <v>100</v>
      </c>
      <c r="J76" s="970" t="s">
        <v>1326</v>
      </c>
      <c r="K76" s="976">
        <v>46.5</v>
      </c>
      <c r="L76" s="977" t="s">
        <v>293</v>
      </c>
      <c r="M76" s="88"/>
    </row>
    <row r="77" spans="2:13" ht="21" customHeight="1" thickTop="1" thickBot="1">
      <c r="B77" s="75"/>
      <c r="C77" s="45"/>
      <c r="D77" s="45"/>
      <c r="H77" s="966" t="s">
        <v>1323</v>
      </c>
      <c r="I77" s="967">
        <f>100*(I75-I74)/(I76-I74)</f>
        <v>0</v>
      </c>
      <c r="L77" s="1031" t="s">
        <v>1418</v>
      </c>
      <c r="M77" s="88"/>
    </row>
    <row r="78" spans="2:13" ht="21" customHeight="1" thickTop="1" thickBot="1">
      <c r="B78" s="75"/>
      <c r="C78" s="1009"/>
      <c r="D78" s="1010" t="s">
        <v>1354</v>
      </c>
      <c r="E78" s="97"/>
      <c r="L78" s="978">
        <f>SQRT(SUMSQ(K75,K81)/2)</f>
        <v>16.626189454630005</v>
      </c>
      <c r="M78" s="88"/>
    </row>
    <row r="79" spans="2:13" ht="21" customHeight="1" thickTop="1" thickBot="1">
      <c r="B79" s="75"/>
      <c r="C79" s="1011"/>
      <c r="D79" s="1034" t="s">
        <v>1417</v>
      </c>
      <c r="E79" s="88"/>
      <c r="H79" s="2256" t="s">
        <v>1316</v>
      </c>
      <c r="I79" s="2257"/>
      <c r="J79" s="2257"/>
      <c r="K79" s="2258"/>
      <c r="M79" s="88"/>
    </row>
    <row r="80" spans="2:13" ht="21" customHeight="1" thickTop="1" thickBot="1">
      <c r="B80" s="75"/>
      <c r="C80" s="1012" t="s">
        <v>1415</v>
      </c>
      <c r="D80" s="692" t="s">
        <v>1414</v>
      </c>
      <c r="E80" s="1013" t="s">
        <v>1416</v>
      </c>
      <c r="H80" s="962" t="s">
        <v>1320</v>
      </c>
      <c r="I80" s="963">
        <v>5</v>
      </c>
      <c r="J80" s="968" t="s">
        <v>1324</v>
      </c>
      <c r="K80" s="969">
        <v>17.5</v>
      </c>
      <c r="M80" s="88"/>
    </row>
    <row r="81" spans="2:13" ht="21" customHeight="1" thickBot="1">
      <c r="B81" s="75"/>
      <c r="C81" s="1011"/>
      <c r="D81" s="634">
        <v>17.5</v>
      </c>
      <c r="E81" s="88"/>
      <c r="H81" s="974" t="s">
        <v>1321</v>
      </c>
      <c r="I81" s="975">
        <v>20</v>
      </c>
      <c r="J81" s="972" t="s">
        <v>1325</v>
      </c>
      <c r="K81" s="973">
        <f>K80+(I83/100)*(K82-K80)</f>
        <v>20.78125</v>
      </c>
      <c r="M81" s="88"/>
    </row>
    <row r="82" spans="2:13" ht="21" customHeight="1" thickBot="1">
      <c r="B82" s="75"/>
      <c r="C82" s="1014"/>
      <c r="D82" s="980" t="s">
        <v>1354</v>
      </c>
      <c r="E82" s="807"/>
      <c r="H82" s="964" t="s">
        <v>1322</v>
      </c>
      <c r="I82" s="965">
        <v>21</v>
      </c>
      <c r="J82" s="970" t="s">
        <v>1326</v>
      </c>
      <c r="K82" s="971">
        <v>21</v>
      </c>
      <c r="M82" s="88"/>
    </row>
    <row r="83" spans="2:13" ht="21" customHeight="1" thickTop="1" thickBot="1">
      <c r="B83" s="92"/>
      <c r="C83" s="1019"/>
      <c r="D83" s="1019"/>
      <c r="E83" s="1019"/>
      <c r="F83" s="1019"/>
      <c r="G83" s="1019"/>
      <c r="H83" s="966" t="s">
        <v>1323</v>
      </c>
      <c r="I83" s="967">
        <f>100*(I81-I80)/(I82-I80)</f>
        <v>93.75</v>
      </c>
      <c r="J83" s="99"/>
      <c r="K83" s="99"/>
      <c r="L83" s="99"/>
      <c r="M83" s="807"/>
    </row>
    <row r="84" spans="2:13" ht="21" customHeight="1" thickTop="1">
      <c r="C84" s="45"/>
    </row>
    <row r="85" spans="2:13" ht="21" customHeight="1" thickBot="1">
      <c r="C85" s="45"/>
    </row>
    <row r="86" spans="2:13" ht="21" customHeight="1" thickTop="1" thickBot="1">
      <c r="B86" s="254"/>
      <c r="C86" s="1017"/>
      <c r="D86" s="96" t="s">
        <v>1339</v>
      </c>
      <c r="E86" s="96"/>
      <c r="F86" s="96"/>
      <c r="G86" s="96"/>
      <c r="H86" s="2256" t="s">
        <v>1315</v>
      </c>
      <c r="I86" s="2257"/>
      <c r="J86" s="2257"/>
      <c r="K86" s="2258"/>
      <c r="L86" s="96"/>
      <c r="M86" s="97"/>
    </row>
    <row r="87" spans="2:13" ht="21" customHeight="1" thickTop="1" thickBot="1">
      <c r="B87" s="75"/>
      <c r="C87" s="45" t="s">
        <v>1337</v>
      </c>
      <c r="D87" t="s">
        <v>1340</v>
      </c>
      <c r="E87" s="958" t="s">
        <v>1317</v>
      </c>
      <c r="F87" s="959">
        <v>51</v>
      </c>
      <c r="H87" s="962" t="s">
        <v>1320</v>
      </c>
      <c r="I87" s="963">
        <v>5</v>
      </c>
      <c r="J87" s="968" t="s">
        <v>1324</v>
      </c>
      <c r="K87" s="969">
        <v>7</v>
      </c>
      <c r="M87" s="88"/>
    </row>
    <row r="88" spans="2:13" ht="21" customHeight="1" thickBot="1">
      <c r="B88" s="75"/>
      <c r="C88" s="45" t="s">
        <v>1337</v>
      </c>
      <c r="D88" t="s">
        <v>1341</v>
      </c>
      <c r="E88" s="960" t="s">
        <v>1318</v>
      </c>
      <c r="F88" s="961">
        <v>15</v>
      </c>
      <c r="H88" s="974" t="s">
        <v>1321</v>
      </c>
      <c r="I88" s="975">
        <v>20</v>
      </c>
      <c r="J88" s="972" t="s">
        <v>1325</v>
      </c>
      <c r="K88" s="973">
        <f>K87+(I90/100)*(K89-K87)</f>
        <v>13.5625</v>
      </c>
      <c r="M88" s="88"/>
    </row>
    <row r="89" spans="2:13" ht="21" customHeight="1" thickTop="1" thickBot="1">
      <c r="B89" s="75"/>
      <c r="C89" s="45"/>
      <c r="D89" s="6"/>
      <c r="E89" s="956" t="s">
        <v>1319</v>
      </c>
      <c r="F89" s="957">
        <f>(F87+F88)/2</f>
        <v>33</v>
      </c>
      <c r="H89" s="964" t="s">
        <v>1322</v>
      </c>
      <c r="I89" s="965">
        <v>21</v>
      </c>
      <c r="J89" s="970" t="s">
        <v>1326</v>
      </c>
      <c r="K89" s="976">
        <v>14</v>
      </c>
      <c r="L89" s="977" t="s">
        <v>293</v>
      </c>
      <c r="M89" s="88"/>
    </row>
    <row r="90" spans="2:13" ht="21" customHeight="1" thickTop="1" thickBot="1">
      <c r="B90" s="75"/>
      <c r="C90" s="45"/>
      <c r="H90" s="966" t="s">
        <v>1323</v>
      </c>
      <c r="I90" s="967">
        <f>100*(I88-I87)/(I89-I87)</f>
        <v>93.75</v>
      </c>
      <c r="L90" s="1031" t="s">
        <v>1369</v>
      </c>
      <c r="M90" s="88"/>
    </row>
    <row r="91" spans="2:13" ht="15.45" thickTop="1" thickBot="1">
      <c r="B91" s="75"/>
      <c r="C91" s="1009"/>
      <c r="D91" s="1010" t="s">
        <v>1354</v>
      </c>
      <c r="E91" s="97"/>
      <c r="L91" s="978">
        <f>SQRT(SUMSQ(K88,K94)/2)</f>
        <v>13.5625</v>
      </c>
      <c r="M91" s="88"/>
    </row>
    <row r="92" spans="2:13" ht="15.45" thickTop="1" thickBot="1">
      <c r="B92" s="75"/>
      <c r="C92" s="1011"/>
      <c r="D92" s="634">
        <v>14</v>
      </c>
      <c r="E92" s="88"/>
      <c r="H92" s="2256" t="s">
        <v>1316</v>
      </c>
      <c r="I92" s="2257"/>
      <c r="J92" s="2257"/>
      <c r="K92" s="2258"/>
      <c r="M92" s="88"/>
    </row>
    <row r="93" spans="2:13" ht="15.45" thickTop="1" thickBot="1">
      <c r="B93" s="75"/>
      <c r="C93" s="1012" t="s">
        <v>1419</v>
      </c>
      <c r="D93" s="692" t="s">
        <v>1393</v>
      </c>
      <c r="E93" s="1013" t="s">
        <v>1368</v>
      </c>
      <c r="H93" s="962" t="s">
        <v>1320</v>
      </c>
      <c r="I93" s="963">
        <v>5</v>
      </c>
      <c r="J93" s="968" t="s">
        <v>1324</v>
      </c>
      <c r="K93" s="969">
        <v>7</v>
      </c>
      <c r="M93" s="88"/>
    </row>
    <row r="94" spans="2:13" ht="15" thickBot="1">
      <c r="B94" s="75"/>
      <c r="C94" s="1011"/>
      <c r="D94" s="634">
        <v>7</v>
      </c>
      <c r="E94" s="88"/>
      <c r="H94" s="974" t="s">
        <v>1321</v>
      </c>
      <c r="I94" s="975">
        <v>20</v>
      </c>
      <c r="J94" s="972" t="s">
        <v>1325</v>
      </c>
      <c r="K94" s="973">
        <f>K93+(I96/100)*(K95-K93)</f>
        <v>13.5625</v>
      </c>
      <c r="M94" s="88"/>
    </row>
    <row r="95" spans="2:13" ht="15" thickBot="1">
      <c r="B95" s="75"/>
      <c r="C95" s="1014"/>
      <c r="D95" s="980" t="s">
        <v>1354</v>
      </c>
      <c r="E95" s="807"/>
      <c r="H95" s="964" t="s">
        <v>1322</v>
      </c>
      <c r="I95" s="965">
        <v>21</v>
      </c>
      <c r="J95" s="970" t="s">
        <v>1326</v>
      </c>
      <c r="K95" s="971">
        <v>14</v>
      </c>
      <c r="M95" s="88"/>
    </row>
    <row r="96" spans="2:13" ht="15.45" thickTop="1" thickBot="1">
      <c r="B96" s="92"/>
      <c r="C96" s="1026"/>
      <c r="D96" s="99"/>
      <c r="E96" s="99"/>
      <c r="F96" s="99"/>
      <c r="G96" s="99"/>
      <c r="H96" s="966" t="s">
        <v>1323</v>
      </c>
      <c r="I96" s="967">
        <f>100*(I94-I93)/(I95-I93)</f>
        <v>93.75</v>
      </c>
      <c r="J96" s="99"/>
      <c r="K96" s="99"/>
      <c r="L96" s="99"/>
      <c r="M96" s="807"/>
    </row>
    <row r="97" spans="2:13" ht="15.45" thickTop="1" thickBot="1">
      <c r="C97" s="45"/>
    </row>
    <row r="98" spans="2:13" ht="15.45" thickTop="1" thickBot="1">
      <c r="B98" s="254"/>
      <c r="C98" s="1017"/>
      <c r="D98" s="96"/>
      <c r="E98" s="96"/>
      <c r="F98" s="96"/>
      <c r="G98" s="96"/>
      <c r="H98" s="96"/>
      <c r="I98" s="96"/>
      <c r="J98" s="96"/>
      <c r="K98" s="96"/>
      <c r="L98" s="96"/>
      <c r="M98" s="97"/>
    </row>
    <row r="99" spans="2:13" ht="15.45" thickTop="1" thickBot="1">
      <c r="B99" s="75"/>
      <c r="C99" s="45"/>
      <c r="D99" t="s">
        <v>1344</v>
      </c>
      <c r="H99" s="2256" t="s">
        <v>1315</v>
      </c>
      <c r="I99" s="2257"/>
      <c r="J99" s="2257"/>
      <c r="K99" s="2258"/>
      <c r="M99" s="88"/>
    </row>
    <row r="100" spans="2:13" ht="15.45" thickTop="1" thickBot="1">
      <c r="B100" s="75"/>
      <c r="C100" s="45" t="s">
        <v>1334</v>
      </c>
      <c r="D100" t="s">
        <v>1342</v>
      </c>
      <c r="E100" s="958" t="s">
        <v>1317</v>
      </c>
      <c r="F100" s="959">
        <v>51</v>
      </c>
      <c r="H100" s="962" t="s">
        <v>1320</v>
      </c>
      <c r="I100" s="963">
        <v>80</v>
      </c>
      <c r="J100" s="968" t="s">
        <v>1324</v>
      </c>
      <c r="K100" s="969">
        <v>38.5</v>
      </c>
      <c r="M100" s="88"/>
    </row>
    <row r="101" spans="2:13" ht="15" thickBot="1">
      <c r="B101" s="75"/>
      <c r="C101" s="45" t="s">
        <v>1331</v>
      </c>
      <c r="D101" t="s">
        <v>1343</v>
      </c>
      <c r="E101" s="960" t="s">
        <v>1318</v>
      </c>
      <c r="F101" s="961">
        <v>15</v>
      </c>
      <c r="H101" s="974" t="s">
        <v>1321</v>
      </c>
      <c r="I101" s="975">
        <v>95</v>
      </c>
      <c r="J101" s="972" t="s">
        <v>1325</v>
      </c>
      <c r="K101" s="973">
        <f>K100+(I103/100)*(K102-K100)</f>
        <v>71.78125</v>
      </c>
      <c r="M101" s="88"/>
    </row>
    <row r="102" spans="2:13" ht="15.45" thickTop="1" thickBot="1">
      <c r="B102" s="75"/>
      <c r="C102" s="45"/>
      <c r="D102" s="6"/>
      <c r="E102" s="956" t="s">
        <v>1319</v>
      </c>
      <c r="F102" s="957">
        <f>(F100+F101)/2</f>
        <v>33</v>
      </c>
      <c r="H102" s="964" t="s">
        <v>1322</v>
      </c>
      <c r="I102" s="965">
        <v>96</v>
      </c>
      <c r="J102" s="970" t="s">
        <v>1326</v>
      </c>
      <c r="K102" s="976">
        <v>74</v>
      </c>
      <c r="L102" s="977" t="s">
        <v>293</v>
      </c>
      <c r="M102" s="88"/>
    </row>
    <row r="103" spans="2:13" ht="15.45" thickTop="1" thickBot="1">
      <c r="B103" s="75"/>
      <c r="C103" s="45"/>
      <c r="H103" s="966" t="s">
        <v>1323</v>
      </c>
      <c r="I103" s="967">
        <f>100*(I101-I100)/(I102-I100)</f>
        <v>93.75</v>
      </c>
      <c r="L103" s="1027" t="s">
        <v>1423</v>
      </c>
      <c r="M103" s="88"/>
    </row>
    <row r="104" spans="2:13" ht="15.45" thickTop="1" thickBot="1">
      <c r="B104" s="75"/>
      <c r="C104" s="1009"/>
      <c r="D104" s="1010" t="s">
        <v>1354</v>
      </c>
      <c r="E104" s="97"/>
      <c r="L104" s="978">
        <f>SQRT(SUMSQ(K101,K107)/2)</f>
        <v>69.575073093267434</v>
      </c>
      <c r="M104" s="88"/>
    </row>
    <row r="105" spans="2:13" ht="15.45" thickTop="1" thickBot="1">
      <c r="B105" s="75"/>
      <c r="C105" s="1011"/>
      <c r="D105" s="634">
        <v>67.5</v>
      </c>
      <c r="E105" s="88"/>
      <c r="H105" s="2256" t="s">
        <v>1316</v>
      </c>
      <c r="I105" s="2257"/>
      <c r="J105" s="2257"/>
      <c r="K105" s="2258"/>
      <c r="M105" s="88"/>
    </row>
    <row r="106" spans="2:13" ht="15.45" thickTop="1" thickBot="1">
      <c r="B106" s="75"/>
      <c r="C106" s="1012" t="s">
        <v>1421</v>
      </c>
      <c r="D106" s="689" t="s">
        <v>1420</v>
      </c>
      <c r="E106" s="1013" t="s">
        <v>1422</v>
      </c>
      <c r="H106" s="962" t="s">
        <v>1320</v>
      </c>
      <c r="I106" s="963">
        <v>21</v>
      </c>
      <c r="J106" s="968" t="s">
        <v>1324</v>
      </c>
      <c r="K106" s="969">
        <v>55.5</v>
      </c>
      <c r="M106" s="88"/>
    </row>
    <row r="107" spans="2:13" ht="15" thickBot="1">
      <c r="B107" s="75"/>
      <c r="C107" s="1011"/>
      <c r="D107" s="634">
        <v>55.5</v>
      </c>
      <c r="E107" s="88"/>
      <c r="H107" s="974" t="s">
        <v>1321</v>
      </c>
      <c r="I107" s="975">
        <v>79</v>
      </c>
      <c r="J107" s="972" t="s">
        <v>1325</v>
      </c>
      <c r="K107" s="973">
        <f>K106+(I109/100)*(K108-K106)</f>
        <v>67.29661016949153</v>
      </c>
      <c r="M107" s="88"/>
    </row>
    <row r="108" spans="2:13" ht="15" thickBot="1">
      <c r="B108" s="75"/>
      <c r="C108" s="1014"/>
      <c r="D108" s="980" t="s">
        <v>1354</v>
      </c>
      <c r="E108" s="807"/>
      <c r="H108" s="964" t="s">
        <v>1322</v>
      </c>
      <c r="I108" s="965">
        <v>80</v>
      </c>
      <c r="J108" s="970" t="s">
        <v>1326</v>
      </c>
      <c r="K108" s="971">
        <v>67.5</v>
      </c>
      <c r="M108" s="88"/>
    </row>
    <row r="109" spans="2:13" ht="15.45" thickTop="1" thickBot="1">
      <c r="B109" s="92"/>
      <c r="C109" s="1026"/>
      <c r="D109" s="99"/>
      <c r="E109" s="99"/>
      <c r="F109" s="99"/>
      <c r="G109" s="99"/>
      <c r="H109" s="966" t="s">
        <v>1323</v>
      </c>
      <c r="I109" s="967">
        <f>100*(I107-I106)/(I108-I106)</f>
        <v>98.305084745762713</v>
      </c>
      <c r="J109" s="99"/>
      <c r="K109" s="99"/>
      <c r="L109" s="99"/>
      <c r="M109" s="807"/>
    </row>
    <row r="110" spans="2:13" ht="15.45" thickTop="1" thickBot="1">
      <c r="C110" s="45"/>
    </row>
    <row r="111" spans="2:13" ht="15.45" thickTop="1" thickBot="1">
      <c r="B111" s="254"/>
      <c r="C111" s="1017"/>
      <c r="D111" s="96"/>
      <c r="E111" s="96"/>
      <c r="F111" s="96"/>
      <c r="G111" s="96"/>
      <c r="H111" s="96"/>
      <c r="I111" s="96"/>
      <c r="J111" s="96"/>
      <c r="K111" s="96"/>
      <c r="L111" s="96"/>
      <c r="M111" s="97"/>
    </row>
    <row r="112" spans="2:13" ht="15.45" thickTop="1" thickBot="1">
      <c r="B112" s="75"/>
      <c r="C112" s="45"/>
      <c r="D112" t="s">
        <v>1374</v>
      </c>
      <c r="H112" s="2256" t="s">
        <v>1315</v>
      </c>
      <c r="I112" s="2257"/>
      <c r="J112" s="2257"/>
      <c r="K112" s="2258"/>
      <c r="M112" s="88"/>
    </row>
    <row r="113" spans="2:13" ht="15.45" thickTop="1" thickBot="1">
      <c r="B113" s="75"/>
      <c r="C113" s="45" t="s">
        <v>1333</v>
      </c>
      <c r="D113" t="s">
        <v>1380</v>
      </c>
      <c r="E113" s="958" t="s">
        <v>1317</v>
      </c>
      <c r="F113" s="959">
        <v>51</v>
      </c>
      <c r="H113" s="962" t="s">
        <v>1320</v>
      </c>
      <c r="I113" s="963">
        <v>0</v>
      </c>
      <c r="J113" s="968" t="s">
        <v>1324</v>
      </c>
      <c r="K113" s="969">
        <v>16.5</v>
      </c>
      <c r="M113" s="88"/>
    </row>
    <row r="114" spans="2:13" ht="15" thickBot="1">
      <c r="B114" s="75"/>
      <c r="C114" s="45" t="s">
        <v>1101</v>
      </c>
      <c r="D114" t="s">
        <v>1381</v>
      </c>
      <c r="E114" s="960" t="s">
        <v>1318</v>
      </c>
      <c r="F114" s="961">
        <v>15</v>
      </c>
      <c r="H114" s="974" t="s">
        <v>1321</v>
      </c>
      <c r="I114" s="975">
        <v>4</v>
      </c>
      <c r="J114" s="972" t="s">
        <v>1325</v>
      </c>
      <c r="K114" s="973">
        <f>K113+(I116/100)*(K115-K113)</f>
        <v>20.100000000000001</v>
      </c>
      <c r="M114" s="88"/>
    </row>
    <row r="115" spans="2:13" ht="15.45" thickTop="1" thickBot="1">
      <c r="B115" s="75"/>
      <c r="C115" s="45"/>
      <c r="D115" s="6"/>
      <c r="E115" s="956" t="s">
        <v>1319</v>
      </c>
      <c r="F115" s="957">
        <f>(F113+F114)/2</f>
        <v>33</v>
      </c>
      <c r="H115" s="964" t="s">
        <v>1322</v>
      </c>
      <c r="I115" s="965">
        <v>5</v>
      </c>
      <c r="J115" s="970" t="s">
        <v>1326</v>
      </c>
      <c r="K115" s="976">
        <v>21</v>
      </c>
      <c r="L115" s="977" t="s">
        <v>293</v>
      </c>
      <c r="M115" s="88"/>
    </row>
    <row r="116" spans="2:13" ht="15.45" thickTop="1" thickBot="1">
      <c r="B116" s="75"/>
      <c r="C116" s="45"/>
      <c r="H116" s="966" t="s">
        <v>1323</v>
      </c>
      <c r="I116" s="967">
        <f>100*(I114-I113)/(I115-I113)</f>
        <v>80</v>
      </c>
      <c r="L116" s="1027" t="s">
        <v>1399</v>
      </c>
      <c r="M116" s="1032"/>
    </row>
    <row r="117" spans="2:13" ht="15.45" thickTop="1" thickBot="1">
      <c r="B117" s="75"/>
      <c r="C117" s="1009"/>
      <c r="D117" s="1010" t="s">
        <v>1354</v>
      </c>
      <c r="E117" s="97"/>
      <c r="L117" s="978">
        <f>SQRT(SUMSQ(K114,K120)/2)</f>
        <v>33.243495604403577</v>
      </c>
      <c r="M117" s="88"/>
    </row>
    <row r="118" spans="2:13" ht="15.45" thickTop="1" thickBot="1">
      <c r="B118" s="75"/>
      <c r="C118" s="1011"/>
      <c r="D118" s="634">
        <v>42.5</v>
      </c>
      <c r="E118" s="88"/>
      <c r="H118" s="2256" t="s">
        <v>1316</v>
      </c>
      <c r="I118" s="2257"/>
      <c r="J118" s="2257"/>
      <c r="K118" s="2258"/>
      <c r="M118" s="88"/>
    </row>
    <row r="119" spans="2:13" ht="15.45" thickTop="1" thickBot="1">
      <c r="B119" s="75"/>
      <c r="C119" s="1012" t="s">
        <v>1397</v>
      </c>
      <c r="D119" s="981" t="s">
        <v>1424</v>
      </c>
      <c r="E119" s="1037" t="s">
        <v>1398</v>
      </c>
      <c r="H119" s="962" t="s">
        <v>1320</v>
      </c>
      <c r="I119" s="963">
        <v>96</v>
      </c>
      <c r="J119" s="968" t="s">
        <v>1324</v>
      </c>
      <c r="K119" s="969">
        <v>5</v>
      </c>
      <c r="M119" s="88"/>
    </row>
    <row r="120" spans="2:13" ht="15.45" thickTop="1" thickBot="1">
      <c r="B120" s="75"/>
      <c r="C120" s="1011"/>
      <c r="D120" s="1034" t="s">
        <v>1359</v>
      </c>
      <c r="E120" s="88"/>
      <c r="H120" s="974" t="s">
        <v>1321</v>
      </c>
      <c r="I120" s="975">
        <v>100</v>
      </c>
      <c r="J120" s="972" t="s">
        <v>1325</v>
      </c>
      <c r="K120" s="973">
        <f>K119+(I122/100)*(K121-K119)</f>
        <v>42.5</v>
      </c>
      <c r="M120" s="88"/>
    </row>
    <row r="121" spans="2:13" ht="15" thickBot="1">
      <c r="B121" s="75"/>
      <c r="C121" s="1014"/>
      <c r="D121" s="980" t="s">
        <v>1354</v>
      </c>
      <c r="E121" s="807"/>
      <c r="H121" s="964" t="s">
        <v>1322</v>
      </c>
      <c r="I121" s="965">
        <v>100</v>
      </c>
      <c r="J121" s="970" t="s">
        <v>1326</v>
      </c>
      <c r="K121" s="971">
        <v>42.5</v>
      </c>
      <c r="M121" s="88"/>
    </row>
    <row r="122" spans="2:13" ht="15.45" thickTop="1" thickBot="1">
      <c r="B122" s="92"/>
      <c r="C122" s="1026"/>
      <c r="D122" s="99"/>
      <c r="E122" s="99"/>
      <c r="F122" s="99"/>
      <c r="G122" s="99"/>
      <c r="H122" s="966" t="s">
        <v>1323</v>
      </c>
      <c r="I122" s="967">
        <f>100*(I120-I119)/(I121-I119)</f>
        <v>100</v>
      </c>
      <c r="J122" s="99"/>
      <c r="K122" s="99"/>
      <c r="L122" s="99"/>
      <c r="M122" s="807"/>
    </row>
    <row r="123" spans="2:13" ht="15.45" thickTop="1" thickBot="1"/>
    <row r="124" spans="2:13" ht="15.45" thickTop="1" thickBot="1">
      <c r="B124" s="254"/>
      <c r="C124" s="1017"/>
      <c r="D124" s="96"/>
      <c r="E124" s="96"/>
      <c r="F124" s="96"/>
      <c r="G124" s="96"/>
      <c r="H124" s="96"/>
      <c r="I124" s="96"/>
      <c r="J124" s="96"/>
      <c r="K124" s="96"/>
      <c r="L124" s="96"/>
      <c r="M124" s="97"/>
    </row>
    <row r="125" spans="2:13" ht="15.45" thickTop="1" thickBot="1">
      <c r="B125" s="75"/>
      <c r="C125" s="45"/>
      <c r="D125" t="s">
        <v>1400</v>
      </c>
      <c r="H125" s="2256" t="s">
        <v>1315</v>
      </c>
      <c r="I125" s="2257"/>
      <c r="J125" s="2257"/>
      <c r="K125" s="2258"/>
      <c r="M125" s="88"/>
    </row>
    <row r="126" spans="2:13" ht="15.45" thickTop="1" thickBot="1">
      <c r="B126" s="75"/>
      <c r="C126" s="45" t="s">
        <v>1101</v>
      </c>
      <c r="D126" t="s">
        <v>1381</v>
      </c>
      <c r="E126" s="958" t="s">
        <v>1317</v>
      </c>
      <c r="F126" s="959">
        <v>51</v>
      </c>
      <c r="H126" s="962" t="s">
        <v>1320</v>
      </c>
      <c r="I126" s="963">
        <v>96</v>
      </c>
      <c r="J126" s="968" t="s">
        <v>1324</v>
      </c>
      <c r="K126" s="969">
        <v>0</v>
      </c>
      <c r="M126" s="88"/>
    </row>
    <row r="127" spans="2:13" ht="15" thickBot="1">
      <c r="B127" s="75"/>
      <c r="C127" s="45" t="s">
        <v>1333</v>
      </c>
      <c r="D127" t="s">
        <v>1380</v>
      </c>
      <c r="E127" s="960" t="s">
        <v>1318</v>
      </c>
      <c r="F127" s="961">
        <v>15</v>
      </c>
      <c r="H127" s="974" t="s">
        <v>1321</v>
      </c>
      <c r="I127" s="975">
        <v>100</v>
      </c>
      <c r="J127" s="972" t="s">
        <v>1325</v>
      </c>
      <c r="K127" s="973">
        <f>K126+(I129/100)*(K128-K126)</f>
        <v>11</v>
      </c>
      <c r="M127" s="88"/>
    </row>
    <row r="128" spans="2:13" ht="15.45" thickTop="1" thickBot="1">
      <c r="B128" s="75"/>
      <c r="C128" s="45"/>
      <c r="E128" s="956" t="s">
        <v>1319</v>
      </c>
      <c r="F128" s="957">
        <f>(F126+F127)/2</f>
        <v>33</v>
      </c>
      <c r="H128" s="964" t="s">
        <v>1322</v>
      </c>
      <c r="I128" s="965">
        <v>100</v>
      </c>
      <c r="J128" s="970" t="s">
        <v>1326</v>
      </c>
      <c r="K128" s="976">
        <v>11</v>
      </c>
      <c r="L128" s="977" t="s">
        <v>293</v>
      </c>
      <c r="M128" s="88"/>
    </row>
    <row r="129" spans="2:13" ht="15.45" thickTop="1" thickBot="1">
      <c r="B129" s="75"/>
      <c r="C129" s="45"/>
      <c r="H129" s="966" t="s">
        <v>1323</v>
      </c>
      <c r="I129" s="967">
        <f>100*(I127-I126)/(I128-I126)</f>
        <v>100</v>
      </c>
      <c r="L129" s="1031" t="s">
        <v>1428</v>
      </c>
      <c r="M129" s="1032"/>
    </row>
    <row r="130" spans="2:13" ht="15.45" thickTop="1" thickBot="1">
      <c r="B130" s="75"/>
      <c r="C130" s="1009"/>
      <c r="D130" s="1010" t="s">
        <v>1354</v>
      </c>
      <c r="E130" s="97"/>
      <c r="L130" s="978">
        <f>SQRT(SUMSQ(K127,K133)/2)</f>
        <v>8.4584277498835441</v>
      </c>
      <c r="M130" s="88"/>
    </row>
    <row r="131" spans="2:13" ht="15.45" thickTop="1" thickBot="1">
      <c r="B131" s="75"/>
      <c r="C131" s="1011"/>
      <c r="D131" s="1034" t="s">
        <v>1359</v>
      </c>
      <c r="E131" s="88"/>
      <c r="H131" s="2256" t="s">
        <v>1316</v>
      </c>
      <c r="I131" s="2257"/>
      <c r="J131" s="2257"/>
      <c r="K131" s="2258"/>
      <c r="M131" s="88"/>
    </row>
    <row r="132" spans="2:13" ht="15.45" thickTop="1" thickBot="1">
      <c r="B132" s="75"/>
      <c r="C132" s="1039" t="s">
        <v>1426</v>
      </c>
      <c r="D132" s="1045" t="s">
        <v>1425</v>
      </c>
      <c r="E132" s="1013" t="s">
        <v>1427</v>
      </c>
      <c r="H132" s="962" t="s">
        <v>1320</v>
      </c>
      <c r="I132" s="963">
        <v>0</v>
      </c>
      <c r="J132" s="968" t="s">
        <v>1324</v>
      </c>
      <c r="K132" s="969">
        <v>3.5</v>
      </c>
      <c r="M132" s="88"/>
    </row>
    <row r="133" spans="2:13" ht="15.45" thickTop="1" thickBot="1">
      <c r="B133" s="75"/>
      <c r="C133" s="1011"/>
      <c r="D133" s="634">
        <v>3.5</v>
      </c>
      <c r="E133" s="88"/>
      <c r="H133" s="974" t="s">
        <v>1321</v>
      </c>
      <c r="I133" s="975">
        <v>4</v>
      </c>
      <c r="J133" s="972" t="s">
        <v>1325</v>
      </c>
      <c r="K133" s="973">
        <f>K132+(I135/100)*(K134-K132)</f>
        <v>4.7</v>
      </c>
      <c r="M133" s="88"/>
    </row>
    <row r="134" spans="2:13" ht="15" thickBot="1">
      <c r="B134" s="75"/>
      <c r="C134" s="1014"/>
      <c r="D134" s="980" t="s">
        <v>1354</v>
      </c>
      <c r="E134" s="807"/>
      <c r="H134" s="964" t="s">
        <v>1322</v>
      </c>
      <c r="I134" s="965">
        <v>5</v>
      </c>
      <c r="J134" s="970" t="s">
        <v>1326</v>
      </c>
      <c r="K134" s="971">
        <v>5</v>
      </c>
      <c r="M134" s="88"/>
    </row>
    <row r="135" spans="2:13" ht="15.45" thickTop="1" thickBot="1">
      <c r="B135" s="92"/>
      <c r="C135" s="1026"/>
      <c r="D135" s="99"/>
      <c r="E135" s="99"/>
      <c r="F135" s="99"/>
      <c r="G135" s="99"/>
      <c r="H135" s="966" t="s">
        <v>1323</v>
      </c>
      <c r="I135" s="967">
        <f>100*(I133-I132)/(I134-I132)</f>
        <v>80</v>
      </c>
      <c r="J135" s="99"/>
      <c r="K135" s="99"/>
      <c r="L135" s="99"/>
      <c r="M135" s="807"/>
    </row>
    <row r="136" spans="2:13" ht="15" thickTop="1"/>
  </sheetData>
  <mergeCells count="18">
    <mergeCell ref="H60:K60"/>
    <mergeCell ref="H66:K66"/>
    <mergeCell ref="H73:K73"/>
    <mergeCell ref="H79:K79"/>
    <mergeCell ref="F18:F21"/>
    <mergeCell ref="G18:O19"/>
    <mergeCell ref="F29:F33"/>
    <mergeCell ref="G29:O31"/>
    <mergeCell ref="H47:K47"/>
    <mergeCell ref="H53:K53"/>
    <mergeCell ref="H125:K125"/>
    <mergeCell ref="H131:K131"/>
    <mergeCell ref="H86:K86"/>
    <mergeCell ref="H92:K92"/>
    <mergeCell ref="H99:K99"/>
    <mergeCell ref="H105:K105"/>
    <mergeCell ref="H112:K112"/>
    <mergeCell ref="H118:K118"/>
  </mergeCells>
  <pageMargins left="0.7" right="0.7" top="0.75" bottom="0.75" header="0.3" footer="0.3"/>
  <pageSetup orientation="portrait" verticalDpi="0" r:id="rId1"/>
  <drawing r:id="rId2"/>
  <legacyDrawing r:id="rId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C1:R109"/>
  <sheetViews>
    <sheetView workbookViewId="0"/>
  </sheetViews>
  <sheetFormatPr defaultRowHeight="14.6"/>
  <cols>
    <col min="3" max="3" width="75.3828125" customWidth="1"/>
    <col min="4" max="5" width="26.69140625" customWidth="1"/>
    <col min="6" max="6" width="20.69140625" customWidth="1"/>
    <col min="7" max="11" width="26.69140625" customWidth="1"/>
    <col min="12" max="12" width="28.69140625" customWidth="1"/>
    <col min="13" max="14" width="30.69140625" customWidth="1"/>
    <col min="15" max="17" width="26.69140625" customWidth="1"/>
    <col min="18" max="19" width="24.69140625" customWidth="1"/>
  </cols>
  <sheetData>
    <row r="1" spans="3:18" ht="15" thickBot="1"/>
    <row r="2" spans="3:18" ht="15.75" customHeight="1" thickTop="1">
      <c r="D2" s="2352" t="s">
        <v>1496</v>
      </c>
      <c r="E2" s="2353"/>
      <c r="F2" s="2353"/>
      <c r="G2" s="2353"/>
      <c r="H2" s="2353"/>
      <c r="I2" s="2353"/>
      <c r="J2" s="2353"/>
      <c r="K2" s="2353"/>
      <c r="L2" s="2353"/>
      <c r="M2" s="2353"/>
      <c r="N2" s="2353"/>
      <c r="O2" s="2353"/>
      <c r="P2" s="2382"/>
    </row>
    <row r="3" spans="3:18" ht="15" thickBot="1">
      <c r="D3" s="2354"/>
      <c r="E3" s="2355"/>
      <c r="F3" s="2355"/>
      <c r="G3" s="2355"/>
      <c r="H3" s="2355"/>
      <c r="I3" s="2355"/>
      <c r="J3" s="2355"/>
      <c r="K3" s="2355"/>
      <c r="L3" s="2355"/>
      <c r="M3" s="2355"/>
      <c r="N3" s="2355"/>
      <c r="O3" s="2355"/>
      <c r="P3" s="2383"/>
    </row>
    <row r="4" spans="3:18" ht="27" thickTop="1" thickBot="1">
      <c r="C4" s="1257"/>
      <c r="D4" s="1137"/>
      <c r="E4" s="31"/>
      <c r="F4" s="31"/>
      <c r="G4" s="31"/>
      <c r="H4" s="31"/>
      <c r="I4" s="31"/>
      <c r="J4" s="31"/>
      <c r="K4" s="31"/>
      <c r="L4" s="31"/>
      <c r="M4" s="31"/>
      <c r="N4" s="31"/>
      <c r="O4" s="31"/>
      <c r="P4" s="1139"/>
    </row>
    <row r="5" spans="3:18" ht="21.45" thickTop="1" thickBot="1">
      <c r="D5" s="1164" t="s">
        <v>1447</v>
      </c>
      <c r="G5" s="1135" t="s">
        <v>1445</v>
      </c>
      <c r="H5" s="1169">
        <v>51</v>
      </c>
      <c r="I5" s="1134" t="s">
        <v>1449</v>
      </c>
      <c r="J5" s="1168" t="str">
        <f>CONCATENATE(IF(AND(IF(H$5&gt;=0,1,0),IF(H$5&lt;5,1,0)),"Very Low",""),IF(AND(IF(H$5&gt;=5,1,0),IF(H$5&lt;21,1,0)),"Low",""),IF(AND(IF(H$5&gt;=21,1,0),IF(H$5&lt;80,1,0)),"Moderate",""),IF(AND(IF(H$5&gt;=80,1,0),IF(H$5&lt;96,1,0)),"High",""),IF(AND(IF(H$5&gt;=96,1,0),IF(H$5&lt;100,1,0)),"Very High",""))</f>
        <v>Moderate</v>
      </c>
      <c r="L5" s="1136" t="s">
        <v>1446</v>
      </c>
      <c r="M5" s="1170">
        <v>51</v>
      </c>
      <c r="N5" s="1134" t="s">
        <v>1449</v>
      </c>
      <c r="O5" s="1168" t="str">
        <f>CONCATENATE(IF(AND(IF(M$5&gt;=0,1,0),IF(M$5&lt;5,1,0)),"Very Low",""),IF(AND(IF(M$5&gt;=5,1,0),IF(M$5&lt;21,1,0)),"Low",""),IF(AND(IF(M$5&gt;=21,1,0),IF(M$5&lt;80,1,0)),"Moderate",""),IF(AND(IF(M$5&gt;=80,1,0),IF(M$5&lt;96,1,0)),"High",""),IF(AND(IF(M$5&gt;=96,1,0),IF(M$5&lt;100,1,0)),"Very High",""))</f>
        <v>Moderate</v>
      </c>
      <c r="P5" s="88"/>
    </row>
    <row r="6" spans="3:18" ht="21.45" thickTop="1" thickBot="1">
      <c r="D6" s="75"/>
      <c r="E6" s="1134"/>
      <c r="F6" s="1134"/>
      <c r="G6" s="1047"/>
      <c r="H6" s="1047"/>
      <c r="J6" s="1134"/>
      <c r="K6" s="1047"/>
      <c r="L6" s="1047"/>
      <c r="M6" s="31"/>
      <c r="N6" s="1134"/>
      <c r="P6" s="1140"/>
      <c r="Q6" s="31"/>
    </row>
    <row r="7" spans="3:18" ht="24" thickTop="1" thickBot="1">
      <c r="D7" s="1164" t="s">
        <v>1448</v>
      </c>
      <c r="G7" s="1047"/>
      <c r="H7" s="1134" t="s">
        <v>1491</v>
      </c>
      <c r="I7" s="1167" t="str">
        <f>VLOOKUP($J$5,$H$72:$N$78,  HLOOKUP($O$5,$H$72:$N$78,2,FALSE)+1,  FALSE)</f>
        <v>Moderate_</v>
      </c>
      <c r="M7" s="1134" t="s">
        <v>1500</v>
      </c>
      <c r="N7" s="1255">
        <f>P38</f>
        <v>45.3</v>
      </c>
      <c r="O7" s="1256" t="str">
        <f>P37</f>
        <v>Moderate</v>
      </c>
      <c r="P7" s="88"/>
    </row>
    <row r="8" spans="3:18" ht="21" thickTop="1">
      <c r="D8" s="1138"/>
      <c r="E8" s="1047"/>
      <c r="F8" s="1047"/>
      <c r="G8" s="1047"/>
      <c r="I8" s="1047"/>
      <c r="J8" s="1047"/>
      <c r="K8" s="1047"/>
      <c r="L8" s="31"/>
      <c r="M8" s="1134"/>
      <c r="N8" s="31"/>
      <c r="P8" s="1140"/>
      <c r="Q8" s="31"/>
    </row>
    <row r="9" spans="3:18" ht="15" thickBot="1">
      <c r="D9" s="92"/>
      <c r="J9" s="524" t="s">
        <v>1518</v>
      </c>
      <c r="K9" s="31"/>
      <c r="L9" s="524" t="s">
        <v>1518</v>
      </c>
      <c r="M9" s="31"/>
      <c r="N9" s="524" t="s">
        <v>1518</v>
      </c>
      <c r="P9" s="807"/>
    </row>
    <row r="10" spans="3:18" ht="19.3" thickTop="1" thickBot="1">
      <c r="D10" s="2356" t="s">
        <v>1493</v>
      </c>
      <c r="E10" s="2357"/>
      <c r="F10" s="2357"/>
      <c r="G10" s="2358"/>
      <c r="H10" s="2362" t="s">
        <v>1492</v>
      </c>
      <c r="I10" s="2363"/>
      <c r="J10" s="2363"/>
      <c r="K10" s="2363"/>
      <c r="L10" s="2363"/>
      <c r="M10" s="2363"/>
      <c r="N10" s="2363"/>
      <c r="O10" s="2363"/>
      <c r="P10" s="2364"/>
    </row>
    <row r="11" spans="3:18" ht="16.5" customHeight="1" thickTop="1" thickBot="1">
      <c r="D11" s="2359"/>
      <c r="E11" s="2360"/>
      <c r="F11" s="2360"/>
      <c r="G11" s="2361"/>
      <c r="H11" s="1132" t="s">
        <v>1431</v>
      </c>
      <c r="J11" s="1040" t="s">
        <v>1432</v>
      </c>
      <c r="L11" s="1042" t="s">
        <v>1433</v>
      </c>
      <c r="N11" s="1133" t="s">
        <v>1434</v>
      </c>
      <c r="P11" s="1041" t="s">
        <v>1435</v>
      </c>
    </row>
    <row r="12" spans="3:18" ht="16.5" customHeight="1" thickTop="1" thickBot="1">
      <c r="D12" s="1205"/>
      <c r="E12" s="1207" t="s">
        <v>1450</v>
      </c>
      <c r="F12" s="1216">
        <v>0</v>
      </c>
      <c r="G12" s="1192"/>
      <c r="H12" s="1193" t="s">
        <v>348</v>
      </c>
      <c r="I12" s="1194">
        <v>5</v>
      </c>
      <c r="J12" s="1195" t="s">
        <v>238</v>
      </c>
      <c r="K12" s="1194">
        <v>21</v>
      </c>
      <c r="L12" s="1196" t="s">
        <v>260</v>
      </c>
      <c r="M12" s="1194">
        <v>80</v>
      </c>
      <c r="N12" s="1197" t="s">
        <v>261</v>
      </c>
      <c r="O12" s="1194">
        <v>96</v>
      </c>
      <c r="P12" s="1198" t="s">
        <v>235</v>
      </c>
      <c r="Q12" s="1174"/>
      <c r="R12" s="1190" t="s">
        <v>1463</v>
      </c>
    </row>
    <row r="13" spans="3:18" ht="16.5" customHeight="1" thickTop="1" thickBot="1">
      <c r="D13" s="1206"/>
      <c r="E13" s="1207"/>
      <c r="F13" s="1216">
        <v>1</v>
      </c>
      <c r="G13" s="1204">
        <v>2</v>
      </c>
      <c r="H13" s="1203">
        <v>3</v>
      </c>
      <c r="I13" s="524">
        <v>4</v>
      </c>
      <c r="J13" s="1202">
        <v>5</v>
      </c>
      <c r="K13" s="524">
        <v>6</v>
      </c>
      <c r="L13" s="1201">
        <v>7</v>
      </c>
      <c r="M13" s="524">
        <v>8</v>
      </c>
      <c r="N13" s="1200">
        <v>9</v>
      </c>
      <c r="O13" s="524">
        <v>10</v>
      </c>
      <c r="P13" s="1199">
        <v>11</v>
      </c>
      <c r="Q13" s="23">
        <v>12</v>
      </c>
      <c r="R13" s="1190">
        <v>1</v>
      </c>
    </row>
    <row r="14" spans="3:18" ht="21.45" thickTop="1" thickBot="1">
      <c r="D14" s="1191"/>
      <c r="E14" s="1208"/>
      <c r="F14" s="1210">
        <v>2</v>
      </c>
      <c r="G14" s="1217"/>
      <c r="H14" s="1129" t="str">
        <f>CONCATENATE(IF(AND(IF(H15&gt;=0,1,0),IF(H15&lt;5,1,0)),5,""),IF(AND(IF(H15&gt;=5,1,0),IF(H15&lt;21,1,0)),21,""),IF(AND(IF(H15&gt;=21,1,0),IF(H15&lt;80,1,0)),80,""),IF(AND(IF(H15&gt;=80,1,0),IF(H15&lt;96,1,0)),96,""),IF(AND(IF(H15&gt;=96,1,0),IF(H15&lt;=100,1,0)),100,""))</f>
        <v>5</v>
      </c>
      <c r="I14" s="1115"/>
      <c r="J14" s="1129" t="str">
        <f>CONCATENATE(IF(AND(IF(J15&gt;=0,1,0),IF(J15&lt;5,1,0)),5,""),IF(AND(IF(J15&gt;=5,1,0),IF(J15&lt;21,1,0)),21,""),IF(AND(IF(J15&gt;=21,1,0),IF(J15&lt;80,1,0)),80,""),IF(AND(IF(J15&gt;=80,1,0),IF(J15&lt;96,1,0)),96,""),IF(AND(IF(J15&gt;=96,1,0),IF(J15&lt;=100,1,0)),100,""))</f>
        <v>21</v>
      </c>
      <c r="K14" s="1115"/>
      <c r="L14" s="1129" t="str">
        <f>CONCATENATE(IF(AND(IF(L15&gt;=0,1,0),IF(L15&lt;5,1,0)),5,""),IF(AND(IF(L15&gt;=5,1,0),IF(L15&lt;21,1,0)),21,""),IF(AND(IF(L15&gt;=21,1,0),IF(L15&lt;80,1,0)),80,""),IF(AND(IF(L15&gt;=80,1,0),IF(L15&lt;96,1,0)),96,""),IF(AND(IF(L15&gt;=96,1,0),IF(L15&lt;=100,1,0)),100,""))</f>
        <v>80</v>
      </c>
      <c r="M14" s="1115"/>
      <c r="N14" s="1129" t="str">
        <f>CONCATENATE(IF(AND(IF(N15&gt;=0,1,0),IF(N15&lt;5,1,0)),5,""),IF(AND(IF(N15&gt;=5,1,0),IF(N15&lt;21,1,0)),21,""),IF(AND(IF(N15&gt;=21,1,0),IF(N15&lt;80,1,0)),80,""),IF(AND(IF(N15&gt;=80,1,0),IF(N15&lt;96,1,0)),96,""),IF(AND(IF(N15&gt;=96,1,0),IF(N15&lt;=100,1,0)),100,""))</f>
        <v>96</v>
      </c>
      <c r="O14" s="1115"/>
      <c r="P14" s="1129" t="str">
        <f>CONCATENATE(IF(AND(IF(P15&gt;=0,1,0),IF(P15&lt;5,1,0)),5,""),IF(AND(IF(P15&gt;=5,1,0),IF(P15&lt;21,1,0)),21,""),IF(AND(IF(P15&gt;=21,1,0),IF(P15&lt;80,1,0)),80,""),IF(AND(IF(P15&gt;=80,1,0),IF(P15&lt;96,1,0)),96,""),IF(AND(IF(P15&gt;=96,1,0),IF(P15&lt;=100,1,0)),100,""))</f>
        <v>100</v>
      </c>
      <c r="Q14" s="1072"/>
      <c r="R14" s="1190">
        <v>2</v>
      </c>
    </row>
    <row r="15" spans="3:18" ht="19.3" thickTop="1" thickBot="1">
      <c r="D15" s="1145" t="s">
        <v>1435</v>
      </c>
      <c r="E15" s="1046" t="s">
        <v>235</v>
      </c>
      <c r="F15" s="1211">
        <v>3</v>
      </c>
      <c r="G15" s="1126" t="str">
        <f>CONCATENATE(IF(AND(IF(H15&gt;=0,1,0),IF(H15&lt;5,1,0)),0,""),IF(AND(IF(H15&gt;=5,1,0),IF(H15&lt;21,1,0)),5,""),IF(AND(IF(H15&gt;=21,1,0),IF(H15&lt;80,1,0)),21,""),IF(AND(IF(H15&gt;=80,1,0),IF(H15&lt;96,1,0)),80,""),IF(AND(IF(H15&gt;=96,1,0),IF(H15&lt;100,1,0)),96,""))</f>
        <v>0</v>
      </c>
      <c r="H15" s="1258">
        <v>4</v>
      </c>
      <c r="I15" s="1099">
        <v>42.5</v>
      </c>
      <c r="J15" s="1082">
        <v>18</v>
      </c>
      <c r="K15" s="1103">
        <v>77.5</v>
      </c>
      <c r="L15" s="684">
        <v>75</v>
      </c>
      <c r="M15" s="1105">
        <v>92.5</v>
      </c>
      <c r="N15" s="685">
        <v>91</v>
      </c>
      <c r="O15" s="1107">
        <v>97.5</v>
      </c>
      <c r="P15" s="687">
        <v>100</v>
      </c>
      <c r="Q15" s="1131">
        <v>100</v>
      </c>
      <c r="R15" s="1190">
        <v>3</v>
      </c>
    </row>
    <row r="16" spans="3:18" ht="16.75" thickTop="1" thickBot="1">
      <c r="D16" s="110"/>
      <c r="E16" s="11"/>
      <c r="F16" s="1210">
        <v>4</v>
      </c>
      <c r="G16" s="1127"/>
      <c r="H16" s="944">
        <f>AVERAGE(H15,H17)</f>
        <v>3.5</v>
      </c>
      <c r="I16" s="937"/>
      <c r="J16" s="944">
        <f>AVERAGE(J15,J17)</f>
        <v>17.5</v>
      </c>
      <c r="K16" s="934"/>
      <c r="L16" s="944">
        <f>AVERAGE(L15,L17)</f>
        <v>67.5</v>
      </c>
      <c r="M16" s="951"/>
      <c r="N16" s="944">
        <f>AVERAGE(N15,N17)</f>
        <v>89.5</v>
      </c>
      <c r="O16" s="953"/>
      <c r="P16" s="944">
        <f>AVERAGE(P15,P17)</f>
        <v>99.5</v>
      </c>
      <c r="Q16" s="1130"/>
      <c r="R16" s="1190">
        <v>4</v>
      </c>
    </row>
    <row r="17" spans="3:18" ht="16.75" thickTop="1" thickBot="1">
      <c r="D17" s="1144" t="s">
        <v>1434</v>
      </c>
      <c r="E17" s="1119" t="s">
        <v>261</v>
      </c>
      <c r="F17" s="1212">
        <v>5</v>
      </c>
      <c r="G17" s="1126" t="str">
        <f>CONCATENATE(IF(AND(IF(H17&gt;=0,1,0),IF(H17&lt;5,1,0)),0,""),IF(AND(IF(H17&gt;=5,1,0),IF(H17&lt;21,1,0)),5,""),IF(AND(IF(H17&gt;=21,1,0),IF(H17&lt;80,1,0)),21,""),IF(AND(IF(H17&gt;=80,1,0),IF(H17&lt;96,1,0)),80,""),IF(AND(IF(H17&gt;=96,1,0),IF(H17&lt;100,1,0)),96,""))</f>
        <v>0</v>
      </c>
      <c r="H17" s="694">
        <v>3</v>
      </c>
      <c r="I17" s="1101">
        <v>33</v>
      </c>
      <c r="J17" s="981">
        <v>17</v>
      </c>
      <c r="K17" s="1101">
        <v>59</v>
      </c>
      <c r="L17" s="834">
        <v>60</v>
      </c>
      <c r="M17" s="945">
        <v>77.5</v>
      </c>
      <c r="N17" s="690">
        <v>88</v>
      </c>
      <c r="O17" s="954">
        <v>92.5</v>
      </c>
      <c r="P17" s="691">
        <v>99</v>
      </c>
      <c r="Q17" s="1131" t="str">
        <f>CONCATENATE(IF(AND(IF(P17&gt;=0,1,0),IF(P17&lt;5,1,0)),5,""),IF(AND(IF(P17&gt;=5,1,0),IF(P17&lt;21,1,0)),21,""),IF(AND(IF(P17&gt;=21,1,0),IF(P17&lt;80,1,0)),80,""),IF(AND(IF(P17&gt;=80,1,0),IF(P17&lt;96,1,0)),96,""),IF(AND(IF(P17&gt;=96,1,0),IF(P17&lt;100,1,0)),100,""))</f>
        <v>100</v>
      </c>
      <c r="R17" s="1190">
        <v>5</v>
      </c>
    </row>
    <row r="18" spans="3:18" ht="16.75" thickTop="1" thickBot="1">
      <c r="D18" s="110"/>
      <c r="E18" s="11"/>
      <c r="F18" s="1210">
        <v>6</v>
      </c>
      <c r="G18" s="1127"/>
      <c r="H18" s="944">
        <f>AVERAGE(H17,H19)</f>
        <v>2.5</v>
      </c>
      <c r="I18" s="945"/>
      <c r="J18" s="944">
        <f>AVERAGE(J17,J19)</f>
        <v>16</v>
      </c>
      <c r="K18" s="935"/>
      <c r="L18" s="944">
        <f>AVERAGE(L17,L19)</f>
        <v>55.5</v>
      </c>
      <c r="M18" s="947"/>
      <c r="N18" s="944">
        <f>AVERAGE(N17,N19)</f>
        <v>74</v>
      </c>
      <c r="O18" s="954"/>
      <c r="P18" s="944">
        <f>AVERAGE(P17,P19)</f>
        <v>93.5</v>
      </c>
      <c r="Q18" s="1130"/>
      <c r="R18" s="1190">
        <v>6</v>
      </c>
    </row>
    <row r="19" spans="3:18" ht="16.75" thickTop="1" thickBot="1">
      <c r="C19" s="1266"/>
      <c r="D19" s="1143" t="s">
        <v>1433</v>
      </c>
      <c r="E19" s="834" t="s">
        <v>260</v>
      </c>
      <c r="F19" s="1213">
        <v>7</v>
      </c>
      <c r="G19" s="1126" t="str">
        <f>CONCATENATE(IF(AND(IF(H19&gt;=0,1,0),IF(H19&lt;5,1,0)),0,""),IF(AND(IF(H19&gt;=5,1,0),IF(H19&lt;21,1,0)),5,""),IF(AND(IF(H19&gt;=21,1,0),IF(H19&lt;80,1,0)),21,""),IF(AND(IF(H19&gt;=80,1,0),IF(H19&lt;96,1,0)),80,""),IF(AND(IF(H19&gt;=96,1,0),IF(H19&lt;100,1,0)),96,""))</f>
        <v>0</v>
      </c>
      <c r="H19" s="694">
        <v>2</v>
      </c>
      <c r="I19" s="945">
        <v>14</v>
      </c>
      <c r="J19" s="692">
        <v>15</v>
      </c>
      <c r="K19" s="954">
        <v>33</v>
      </c>
      <c r="L19" s="834">
        <v>51</v>
      </c>
      <c r="M19" s="945">
        <v>59</v>
      </c>
      <c r="N19" s="689">
        <v>60</v>
      </c>
      <c r="O19" s="954">
        <v>77.5</v>
      </c>
      <c r="P19" s="693">
        <v>88</v>
      </c>
      <c r="Q19" s="1131" t="str">
        <f>CONCATENATE(IF(AND(IF(P19&gt;=0,1,0),IF(P19&lt;5,1,0)),5,""),IF(AND(IF(P19&gt;=5,1,0),IF(P19&lt;21,1,0)),21,""),IF(AND(IF(P19&gt;=21,1,0),IF(P19&lt;80,1,0)),80,""),IF(AND(IF(P19&gt;=80,1,0),IF(P19&lt;96,1,0)),96,""),IF(AND(IF(P19&gt;=96,1,0),IF(P19&lt;100,1,0)),100,""))</f>
        <v>96</v>
      </c>
      <c r="R19" s="1190">
        <v>7</v>
      </c>
    </row>
    <row r="20" spans="3:18" ht="16.75" thickTop="1" thickBot="1">
      <c r="D20" s="1120"/>
      <c r="E20" s="11"/>
      <c r="F20" s="1210">
        <v>8</v>
      </c>
      <c r="G20" s="1127"/>
      <c r="H20" s="944">
        <f>AVERAGE(H19,H21)</f>
        <v>1.5</v>
      </c>
      <c r="I20" s="945"/>
      <c r="J20" s="944">
        <f>AVERAGE(J19,J21)</f>
        <v>14</v>
      </c>
      <c r="K20" s="935"/>
      <c r="L20" s="944">
        <f>AVERAGE(L19,L21)</f>
        <v>33</v>
      </c>
      <c r="M20" s="947"/>
      <c r="N20" s="944">
        <f>AVERAGE(N19,N21)</f>
        <v>38.5</v>
      </c>
      <c r="O20" s="954"/>
      <c r="P20" s="944">
        <f>AVERAGE(P19,P21)</f>
        <v>74</v>
      </c>
      <c r="Q20" s="1130"/>
      <c r="R20" s="1190">
        <v>8</v>
      </c>
    </row>
    <row r="21" spans="3:18" ht="16.75" thickTop="1" thickBot="1">
      <c r="C21" s="1266"/>
      <c r="D21" s="1117" t="s">
        <v>1432</v>
      </c>
      <c r="E21" s="1209" t="s">
        <v>238</v>
      </c>
      <c r="F21" s="1214">
        <v>9</v>
      </c>
      <c r="G21" s="1126" t="str">
        <f>CONCATENATE(IF(AND(IF(H21&gt;=0,1,0),IF(H21&lt;5,1,0)),0,""),IF(AND(IF(H21&gt;=5,1,0),IF(H21&lt;21,1,0)),5,""),IF(AND(IF(H21&gt;=21,1,0),IF(H21&lt;80,1,0)),21,""),IF(AND(IF(H21&gt;=80,1,0),IF(H21&lt;96,1,0)),80,""),IF(AND(IF(H21&gt;=96,1,0),IF(H21&lt;100,1,0)),96,""))</f>
        <v>0</v>
      </c>
      <c r="H21" s="694">
        <v>1</v>
      </c>
      <c r="I21" s="945">
        <v>7.5</v>
      </c>
      <c r="J21" s="692">
        <v>13</v>
      </c>
      <c r="K21" s="947">
        <v>14</v>
      </c>
      <c r="L21" s="692">
        <v>15</v>
      </c>
      <c r="M21" s="947">
        <v>33</v>
      </c>
      <c r="N21" s="692">
        <v>17</v>
      </c>
      <c r="O21" s="954">
        <v>59</v>
      </c>
      <c r="P21" s="695">
        <v>60</v>
      </c>
      <c r="Q21" s="1131" t="str">
        <f>CONCATENATE(IF(AND(IF(P21&gt;=0,1,0),IF(P21&lt;5,1,0)),5,""),IF(AND(IF(P21&gt;=5,1,0),IF(P21&lt;21,1,0)),21,""),IF(AND(IF(P21&gt;=21,1,0),IF(P21&lt;80,1,0)),80,""),IF(AND(IF(P21&gt;=80,1,0),IF(P21&lt;96,1,0)),96,""),IF(AND(IF(P21&gt;=96,1,0),IF(P21&lt;100,1,0)),100,""))</f>
        <v>80</v>
      </c>
      <c r="R21" s="1190">
        <v>9</v>
      </c>
    </row>
    <row r="22" spans="3:18" ht="16.75" thickTop="1" thickBot="1">
      <c r="D22" s="1118"/>
      <c r="E22" s="11"/>
      <c r="F22" s="1210">
        <v>10</v>
      </c>
      <c r="G22" s="1127"/>
      <c r="H22" s="944">
        <f>AVERAGE(H21,H23)</f>
        <v>0.5</v>
      </c>
      <c r="I22" s="946"/>
      <c r="J22" s="944">
        <f>AVERAGE(J21,J23)</f>
        <v>7</v>
      </c>
      <c r="K22" s="936"/>
      <c r="L22" s="944">
        <f>AVERAGE(L21,L23)</f>
        <v>8.5</v>
      </c>
      <c r="M22" s="952"/>
      <c r="N22" s="944">
        <f>AVERAGE(N21,N23)</f>
        <v>16</v>
      </c>
      <c r="O22" s="955"/>
      <c r="P22" s="944">
        <f>AVERAGE(P21,P23)</f>
        <v>38.5</v>
      </c>
      <c r="Q22" s="1130"/>
      <c r="R22" s="1190">
        <v>10</v>
      </c>
    </row>
    <row r="23" spans="3:18" ht="16.75" thickTop="1" thickBot="1">
      <c r="D23" s="1142" t="s">
        <v>1436</v>
      </c>
      <c r="E23" s="1045" t="s">
        <v>348</v>
      </c>
      <c r="F23" s="1215">
        <v>11</v>
      </c>
      <c r="G23" s="1126" t="str">
        <f>CONCATENATE(IF(AND(IF(H23&gt;=0,1,0),IF(H23&lt;5,1,0)),0,""),IF(AND(IF(H23&gt;=5,1,0),IF(H23&lt;21,1,0)),5,""),IF(AND(IF(H23&gt;=21,1,0),IF(H23&lt;80,1,0)),21,""),IF(AND(IF(H23&gt;=80,1,0),IF(H23&lt;96,1,0)),80,""),IF(AND(IF(H23&gt;=96,1,0),IF(H23&lt;100,1,0)),96,""))</f>
        <v>0</v>
      </c>
      <c r="H23" s="696">
        <v>0</v>
      </c>
      <c r="I23" s="1102">
        <v>1.5</v>
      </c>
      <c r="J23" s="697">
        <v>1</v>
      </c>
      <c r="K23" s="1104">
        <v>7.5</v>
      </c>
      <c r="L23" s="697">
        <v>2</v>
      </c>
      <c r="M23" s="1106">
        <v>14</v>
      </c>
      <c r="N23" s="981">
        <v>15</v>
      </c>
      <c r="O23" s="1108">
        <v>16.5</v>
      </c>
      <c r="P23" s="699">
        <v>17</v>
      </c>
      <c r="Q23" s="1131" t="str">
        <f>CONCATENATE(IF(AND(IF(P23&gt;=0,1,0),IF(P23&lt;5,1,0)),5,""),IF(AND(IF(P23&gt;=5,1,0),IF(P23&lt;21,1,0)),21,""),IF(AND(IF(P23&gt;=21,1,0),IF(P23&lt;80,1,0)),80,""),IF(AND(IF(P23&gt;=80,1,0),IF(P23&lt;96,1,0)),96,""),IF(AND(IF(P23&gt;=96,1,0),IF(P23&lt;100,1,0)),100,""))</f>
        <v>21</v>
      </c>
      <c r="R23" s="1190">
        <v>11</v>
      </c>
    </row>
    <row r="24" spans="3:18" ht="21.45" thickTop="1" thickBot="1">
      <c r="E24" s="11"/>
      <c r="F24" s="1210">
        <v>12</v>
      </c>
      <c r="G24" s="1067"/>
      <c r="H24" s="1128" t="str">
        <f>CONCATENATE(IF(AND(IF(H23&gt;=0,1,0),IF(H23&lt;5,1,0)),0,""),IF(AND(IF(H23&gt;=5,1,0),IF(H23&lt;21,1,0)),5,""),IF(AND(IF(H23&gt;=21,1,0),IF(H23&lt;80,1,0)),21,""),IF(AND(IF(H23&gt;=80,1,0),IF(H23&lt;96,1,0)),80,""),IF(AND(IF(H23&gt;=96,1,0),IF(H23&lt;100,1,0)),96,""))</f>
        <v>0</v>
      </c>
      <c r="I24" s="1116"/>
      <c r="J24" s="1128" t="str">
        <f>CONCATENATE(IF(AND(IF(J23&gt;=0,1,0),IF(J23&lt;5,1,0)),0,""),IF(AND(IF(J23&gt;=5,1,0),IF(J23&lt;21,1,0)),5,""),IF(AND(IF(J23&gt;=21,1,0),IF(J23&lt;80,1,0)),21,""),IF(AND(IF(J23&gt;=80,1,0),IF(J23&lt;96,1,0)),80,""),IF(AND(IF(J23&gt;=96,1,0),IF(J23&lt;100,1,0)),96,""))</f>
        <v>0</v>
      </c>
      <c r="K24" s="1116"/>
      <c r="L24" s="1128" t="str">
        <f>CONCATENATE(IF(AND(IF(L23&gt;=0,1,0),IF(L23&lt;5,1,0)),0,""),IF(AND(IF(L23&gt;=5,1,0),IF(L23&lt;21,1,0)),5,""),IF(AND(IF(L23&gt;=21,1,0),IF(L23&lt;80,1,0)),21,""),IF(AND(IF(L23&gt;=80,1,0),IF(L23&lt;96,1,0)),80,""),IF(AND(IF(L23&gt;=96,1,0),IF(L23&lt;100,1,0)),96,""))</f>
        <v>0</v>
      </c>
      <c r="M24" s="1116"/>
      <c r="N24" s="1128" t="str">
        <f>CONCATENATE(IF(AND(IF(N23&gt;=0,1,0),IF(N23&lt;5,1,0)),0,""),IF(AND(IF(N23&gt;=5,1,0),IF(N23&lt;21,1,0)),5,""),IF(AND(IF(N23&gt;=21,1,0),IF(N23&lt;80,1,0)),21,""),IF(AND(IF(N23&gt;=80,1,0),IF(N23&lt;96,1,0)),80,""),IF(AND(IF(N23&gt;=96,1,0),IF(N23&lt;100,1,0)),96,""))</f>
        <v>5</v>
      </c>
      <c r="O24" s="1116"/>
      <c r="P24" s="1128" t="str">
        <f>CONCATENATE(IF(AND(IF(P23&gt;=0,1,0),IF(P23&lt;5,1,0)),0,""),IF(AND(IF(P23&gt;=5,1,0),IF(P23&lt;21,1,0)),5,""),IF(AND(IF(P23&gt;=21,1,0),IF(P23&lt;80,1,0)),21,""),IF(AND(IF(P23&gt;=80,1,0),IF(P23&lt;96,1,0)),80,""),IF(AND(IF(P23&gt;=96,1,0),IF(P23&lt;100,1,0)),96,""))</f>
        <v>5</v>
      </c>
      <c r="Q24" s="1071"/>
      <c r="R24" s="1190" t="s">
        <v>1464</v>
      </c>
    </row>
    <row r="25" spans="3:18" ht="15.45" thickTop="1" thickBot="1">
      <c r="E25" s="1190" t="s">
        <v>1462</v>
      </c>
      <c r="F25" s="1190">
        <v>1</v>
      </c>
      <c r="G25" s="1190">
        <v>2</v>
      </c>
      <c r="H25" s="1190">
        <v>3</v>
      </c>
      <c r="I25" s="1190">
        <v>4</v>
      </c>
      <c r="J25" s="1190">
        <v>5</v>
      </c>
      <c r="K25" s="1190">
        <v>6</v>
      </c>
      <c r="L25" s="1190">
        <v>7</v>
      </c>
      <c r="M25" s="1190">
        <v>8</v>
      </c>
      <c r="N25" s="1190">
        <v>9</v>
      </c>
      <c r="O25" s="1190">
        <v>10</v>
      </c>
      <c r="P25" s="1190">
        <v>11</v>
      </c>
      <c r="Q25" s="1190" t="s">
        <v>1461</v>
      </c>
      <c r="R25" s="11"/>
    </row>
    <row r="26" spans="3:18" ht="15" thickTop="1"/>
    <row r="28" spans="3:18" ht="15" thickBot="1"/>
    <row r="29" spans="3:18" ht="21" thickTop="1">
      <c r="D29" s="2395" t="s">
        <v>1501</v>
      </c>
      <c r="E29" s="2396"/>
      <c r="F29" s="2396"/>
      <c r="G29" s="2396"/>
      <c r="H29" s="2396"/>
      <c r="I29" s="2396"/>
      <c r="J29" s="2396"/>
      <c r="K29" s="2396"/>
      <c r="L29" s="2396"/>
      <c r="M29" s="2396"/>
      <c r="N29" s="2396"/>
      <c r="O29" s="2396"/>
      <c r="P29" s="2396"/>
      <c r="Q29" s="2397"/>
    </row>
    <row r="30" spans="3:18">
      <c r="D30" s="1248"/>
      <c r="E30" s="1249"/>
      <c r="F30" s="1249"/>
      <c r="G30" s="1249"/>
      <c r="H30" s="1249"/>
      <c r="I30" s="1249"/>
      <c r="J30" s="1249"/>
      <c r="K30" s="1249"/>
      <c r="L30" s="1249"/>
      <c r="M30" s="1249"/>
      <c r="N30" s="1249"/>
      <c r="O30" s="1249"/>
      <c r="P30" s="1249"/>
      <c r="Q30" s="1250"/>
    </row>
    <row r="31" spans="3:18" ht="15" thickBot="1">
      <c r="D31" s="75"/>
      <c r="Q31" s="88"/>
    </row>
    <row r="32" spans="3:18" ht="16.75" thickTop="1" thickBot="1">
      <c r="D32" s="75"/>
      <c r="E32" s="1189" t="s">
        <v>1460</v>
      </c>
      <c r="F32" s="1237">
        <f>VLOOKUP($J$5,$E$12:$Q$24,2,FALSE)</f>
        <v>7</v>
      </c>
      <c r="G32" s="1232" t="str">
        <f>VLOOKUP($J$5,$E$12:$Q$24,1,FALSE)</f>
        <v>Moderate</v>
      </c>
      <c r="H32" s="529" t="s">
        <v>1484</v>
      </c>
      <c r="I32" s="1219" t="s">
        <v>1467</v>
      </c>
      <c r="L32" s="2365" t="s">
        <v>1494</v>
      </c>
      <c r="M32" s="2366"/>
      <c r="N32" s="2367"/>
      <c r="O32" s="1251" t="str">
        <f>J5</f>
        <v>Moderate</v>
      </c>
      <c r="Q32" s="88"/>
    </row>
    <row r="33" spans="4:17" ht="16.75" thickTop="1" thickBot="1">
      <c r="D33" s="75"/>
      <c r="E33" s="1189" t="s">
        <v>1459</v>
      </c>
      <c r="F33" s="1188">
        <f>HLOOKUP($O$5,$E$12:$Q$24,2,FALSE)</f>
        <v>7</v>
      </c>
      <c r="G33" s="1218" t="str">
        <f>HLOOKUP($O$5,$E$12:$Q$24,1,FALSE)</f>
        <v>Moderate</v>
      </c>
      <c r="H33" s="529" t="s">
        <v>1485</v>
      </c>
      <c r="I33" s="1220" t="s">
        <v>1468</v>
      </c>
      <c r="L33" s="962" t="s">
        <v>1437</v>
      </c>
      <c r="M33" s="1245" t="str">
        <f>$F$35</f>
        <v>21</v>
      </c>
      <c r="N33" s="968" t="s">
        <v>1472</v>
      </c>
      <c r="O33" s="1274">
        <f>$H$41</f>
        <v>33</v>
      </c>
      <c r="Q33" s="88"/>
    </row>
    <row r="34" spans="4:17" ht="16.75" thickTop="1" thickBot="1">
      <c r="D34" s="75"/>
      <c r="F34" s="1238"/>
      <c r="L34" s="974" t="s">
        <v>1438</v>
      </c>
      <c r="M34" s="1246">
        <f>$H$5</f>
        <v>51</v>
      </c>
      <c r="N34" s="972" t="s">
        <v>1486</v>
      </c>
      <c r="O34" s="1252">
        <f>O33+(M36/100)*(O35-O33)</f>
        <v>46.220338983050851</v>
      </c>
      <c r="Q34" s="88"/>
    </row>
    <row r="35" spans="4:17" ht="16.75" thickTop="1" thickBot="1">
      <c r="D35" s="75"/>
      <c r="E35" s="529" t="s">
        <v>1479</v>
      </c>
      <c r="F35" s="1241" t="str">
        <f>CONCATENATE( IF($J$5="Very High", 96, ""), IF($J$5="High", 80, ""), IF($J$5="Moderate", 21, ""), IF($J$5="Low", 5, ""), IF($J$5="Very Low", 0,""))</f>
        <v>21</v>
      </c>
      <c r="G35" s="1239" t="str">
        <f>VLOOKUP($J$5,$E$12:$Q$24,1,FALSE)</f>
        <v>Moderate</v>
      </c>
      <c r="L35" s="964" t="s">
        <v>1439</v>
      </c>
      <c r="M35" s="1247" t="str">
        <f>$F$36</f>
        <v>80</v>
      </c>
      <c r="N35" s="970" t="s">
        <v>1473</v>
      </c>
      <c r="O35" s="1271">
        <f>$J$41</f>
        <v>59</v>
      </c>
      <c r="Q35" s="88"/>
    </row>
    <row r="36" spans="4:17" ht="16.75" thickTop="1" thickBot="1">
      <c r="D36" s="75"/>
      <c r="E36" s="529" t="s">
        <v>1480</v>
      </c>
      <c r="F36" s="1241" t="str">
        <f>CONCATENATE( IF($J$5="Very High", 100, ""), IF($J$5="High", 96, ""), IF($J$5="Moderate", 80, ""), IF($J$5="Low", 21, ""), IF($J$5="Very Low", 5,""))</f>
        <v>80</v>
      </c>
      <c r="I36" s="833" t="s">
        <v>1483</v>
      </c>
      <c r="L36" s="966" t="s">
        <v>1440</v>
      </c>
      <c r="M36" s="967">
        <f>100*(M34-M33)/(M35-M33)</f>
        <v>50.847457627118644</v>
      </c>
      <c r="O36" s="98"/>
      <c r="P36" s="1253" t="s">
        <v>1497</v>
      </c>
      <c r="Q36" s="88"/>
    </row>
    <row r="37" spans="4:17" ht="16.75" thickTop="1" thickBot="1">
      <c r="D37" s="75"/>
      <c r="F37" s="1238"/>
      <c r="I37" s="833">
        <f>$M$5</f>
        <v>51</v>
      </c>
      <c r="O37" s="100"/>
      <c r="P37" s="1200" t="str">
        <f>CONCATENATE(IF($P$38 &lt; 5, "Very Low", ""), IF( AND( IF($P$38 &gt;= 5, 1, 0),  IF($P$38 &lt; 21, 1, 0) ), "Low", ""), IF( AND( IF($P$38 &gt;= 21, 1, 0),  IF($P$38 &lt; 80, 1, 0) ), "Moderate", ""), IF( AND( IF($P$38 &gt;= 80, 1, 0),  IF($P$38 &lt; 96, 1, 0) ), "High", ""), IF( AND( IF($P$38 &gt;= 96, 1, 0),  IF($P$38 &lt;= 100, 1, 0) ), "Very High", "") )</f>
        <v>Moderate</v>
      </c>
      <c r="Q37" s="88"/>
    </row>
    <row r="38" spans="4:17" ht="16.75" thickTop="1" thickBot="1">
      <c r="D38" s="75"/>
      <c r="E38" s="529" t="s">
        <v>1481</v>
      </c>
      <c r="F38" s="1241" t="str">
        <f>CONCATENATE( IF($O$5="Very High", 96, ""), IF($O$5="High", 80, ""), IF($O$5="Moderate", 21, ""), IF($O$5="Low", 5, ""), IF($O$5="Very Low", 0,""))</f>
        <v>21</v>
      </c>
      <c r="G38" s="1240" t="str">
        <f>HLOOKUP($O$5,$E$12:$Q$24,1,FALSE)</f>
        <v>Moderate</v>
      </c>
      <c r="I38" s="833" t="str">
        <f>$G$33</f>
        <v>Moderate</v>
      </c>
      <c r="J38" s="92"/>
      <c r="L38" s="2256" t="s">
        <v>1495</v>
      </c>
      <c r="M38" s="2257"/>
      <c r="N38" s="2258"/>
      <c r="O38" s="1251" t="str">
        <f>$O$5</f>
        <v>Moderate</v>
      </c>
      <c r="P38" s="1200">
        <f>ROUND(SQRT(SUMSQ($O$34,$O$40)/2), 1)</f>
        <v>45.3</v>
      </c>
      <c r="Q38" s="88"/>
    </row>
    <row r="39" spans="4:17" ht="16.75" thickTop="1" thickBot="1">
      <c r="D39" s="75"/>
      <c r="E39" s="529" t="s">
        <v>1482</v>
      </c>
      <c r="F39" s="1241" t="str">
        <f>CONCATENATE( IF($O$5="Very High", 100, ""), IF($O$5="High", 96, ""), IF($O$5="Moderate", 80, ""), IF($O$5="Low", 21, ""), IF($O$5="Very Low", 5,""))</f>
        <v>80</v>
      </c>
      <c r="H39" s="1009"/>
      <c r="I39" s="1227" t="s">
        <v>1477</v>
      </c>
      <c r="J39" s="97"/>
      <c r="L39" s="962" t="s">
        <v>1320</v>
      </c>
      <c r="M39" s="1245" t="str">
        <f>$F$38</f>
        <v>21</v>
      </c>
      <c r="N39" s="968" t="s">
        <v>1474</v>
      </c>
      <c r="O39" s="1272">
        <f>$I$42</f>
        <v>33</v>
      </c>
      <c r="P39" s="1254">
        <f>SQRT(SUMSQ($O$34,$O$40)/2)</f>
        <v>45.339241247482775</v>
      </c>
      <c r="Q39" s="88"/>
    </row>
    <row r="40" spans="4:17" ht="15.45" thickTop="1" thickBot="1">
      <c r="D40" s="75"/>
      <c r="H40" s="1224" t="s">
        <v>1469</v>
      </c>
      <c r="I40" s="735">
        <f>HLOOKUP($O$5,$E$12:$Q$24, VLOOKUP($J$5,$E$12:$Q$24,2,FALSE),FALSE)</f>
        <v>55.5</v>
      </c>
      <c r="J40" s="1225" t="s">
        <v>1470</v>
      </c>
      <c r="L40" s="974" t="s">
        <v>1321</v>
      </c>
      <c r="M40" s="1246">
        <f>$M$5</f>
        <v>51</v>
      </c>
      <c r="N40" s="972" t="s">
        <v>1476</v>
      </c>
      <c r="O40" s="1252">
        <f>O39+(M42/100)*(O41-O39)</f>
        <v>44.440677966101696</v>
      </c>
      <c r="Q40" s="88"/>
    </row>
    <row r="41" spans="4:17" ht="15.45" thickTop="1" thickBot="1">
      <c r="D41" s="75"/>
      <c r="E41" s="1242" t="s">
        <v>1478</v>
      </c>
      <c r="F41" s="1243">
        <f>$H$5</f>
        <v>51</v>
      </c>
      <c r="G41" s="1244" t="str">
        <f>$J$5</f>
        <v>Moderate</v>
      </c>
      <c r="H41" s="1229">
        <f>VLOOKUP($J$5,$E$12:$Q$24, HLOOKUP($O$5,$E$12:$Q$24,2,FALSE),FALSE)</f>
        <v>33</v>
      </c>
      <c r="I41" s="834">
        <f>VLOOKUP($J$5,$E$12:$Q$24, HLOOKUP($O$5,$E$12:$Q$24,2,FALSE)+1,FALSE)</f>
        <v>51</v>
      </c>
      <c r="J41" s="1226">
        <f>VLOOKUP($J$5,$E$12:$Q$24, HLOOKUP($O$5,$E$12:$Q$24,2,FALSE)+2,FALSE)</f>
        <v>59</v>
      </c>
      <c r="L41" s="964" t="s">
        <v>1322</v>
      </c>
      <c r="M41" s="1247" t="str">
        <f>$F$39</f>
        <v>80</v>
      </c>
      <c r="N41" s="970" t="s">
        <v>1475</v>
      </c>
      <c r="O41" s="1273">
        <f>$I$40</f>
        <v>55.5</v>
      </c>
      <c r="Q41" s="88"/>
    </row>
    <row r="42" spans="4:17" ht="15.45" thickTop="1" thickBot="1">
      <c r="D42" s="75"/>
      <c r="G42" s="6"/>
      <c r="H42" s="1011"/>
      <c r="I42" s="735">
        <f>HLOOKUP($O$5,$E$12:$Q$24, VLOOKUP($J$5,$E$12:$Q$24,2,FALSE)+2,FALSE)</f>
        <v>33</v>
      </c>
      <c r="J42" s="88"/>
      <c r="L42" s="966" t="s">
        <v>1441</v>
      </c>
      <c r="M42" s="967">
        <f>100*(M40-M39)/(M41-M39)</f>
        <v>50.847457627118644</v>
      </c>
      <c r="Q42" s="88"/>
    </row>
    <row r="43" spans="4:17" ht="15.45" thickTop="1" thickBot="1">
      <c r="D43" s="75"/>
      <c r="H43" s="1014"/>
      <c r="I43" s="1228" t="s">
        <v>1471</v>
      </c>
      <c r="J43" s="807"/>
      <c r="Q43" s="88"/>
    </row>
    <row r="44" spans="4:17" ht="15" thickTop="1">
      <c r="D44" s="75"/>
      <c r="Q44" s="88"/>
    </row>
    <row r="45" spans="4:17" ht="15" thickBot="1">
      <c r="D45" s="92"/>
      <c r="E45" s="99"/>
      <c r="F45" s="99"/>
      <c r="G45" s="99"/>
      <c r="H45" s="99"/>
      <c r="I45" s="99"/>
      <c r="J45" s="99"/>
      <c r="K45" s="99"/>
      <c r="L45" s="99"/>
      <c r="M45" s="99"/>
      <c r="N45" s="99"/>
      <c r="O45" s="99"/>
      <c r="P45" s="99"/>
      <c r="Q45" s="807"/>
    </row>
    <row r="46" spans="4:17" ht="15" thickTop="1"/>
    <row r="68" spans="5:16" ht="15" thickBot="1"/>
    <row r="69" spans="5:16" ht="15.45" thickTop="1" thickBot="1">
      <c r="E69" s="1276"/>
      <c r="F69" s="1277"/>
      <c r="G69" s="1277"/>
      <c r="H69" s="1277"/>
      <c r="I69" s="1277"/>
      <c r="J69" s="1277"/>
      <c r="K69" s="1277"/>
      <c r="L69" s="1277"/>
      <c r="M69" s="1277"/>
      <c r="N69" s="1277"/>
      <c r="O69" s="1277"/>
      <c r="P69" s="1278"/>
    </row>
    <row r="70" spans="5:16" ht="16.75" thickTop="1" thickBot="1">
      <c r="E70" s="1279"/>
      <c r="J70" s="2368" t="s">
        <v>1443</v>
      </c>
      <c r="K70" s="2369"/>
      <c r="L70" s="2369"/>
      <c r="M70" s="2369"/>
      <c r="N70" s="2370"/>
      <c r="P70" s="1280"/>
    </row>
    <row r="71" spans="5:16" ht="16.75" thickTop="1" thickBot="1">
      <c r="E71" s="1279"/>
      <c r="F71" s="2368" t="s">
        <v>1442</v>
      </c>
      <c r="G71" s="2369"/>
      <c r="H71" s="2369"/>
      <c r="I71" s="2370"/>
      <c r="J71" s="1146" t="s">
        <v>1436</v>
      </c>
      <c r="K71" s="1147" t="s">
        <v>1432</v>
      </c>
      <c r="L71" s="1148" t="s">
        <v>1433</v>
      </c>
      <c r="M71" s="1149" t="s">
        <v>1434</v>
      </c>
      <c r="N71" s="1150" t="s">
        <v>1435</v>
      </c>
      <c r="P71" s="1280"/>
    </row>
    <row r="72" spans="5:16" ht="16.5" customHeight="1" thickTop="1" thickBot="1">
      <c r="E72" s="1279"/>
      <c r="H72" s="1259" t="s">
        <v>1450</v>
      </c>
      <c r="I72" s="1337" t="s">
        <v>1607</v>
      </c>
      <c r="J72" s="1152" t="s">
        <v>348</v>
      </c>
      <c r="K72" s="1151" t="s">
        <v>238</v>
      </c>
      <c r="L72" s="1153" t="s">
        <v>260</v>
      </c>
      <c r="M72" s="1154" t="s">
        <v>261</v>
      </c>
      <c r="N72" s="1059" t="s">
        <v>235</v>
      </c>
      <c r="O72" s="1281" t="s">
        <v>1586</v>
      </c>
      <c r="P72" s="1280"/>
    </row>
    <row r="73" spans="5:16" ht="16.5" customHeight="1" thickTop="1" thickBot="1">
      <c r="E73" s="1279"/>
      <c r="G73" s="1141"/>
      <c r="H73" s="1338" t="s">
        <v>1606</v>
      </c>
      <c r="I73" s="1172">
        <v>1</v>
      </c>
      <c r="J73" s="1155">
        <v>2</v>
      </c>
      <c r="K73" s="1166">
        <v>3</v>
      </c>
      <c r="L73" s="1268">
        <v>4</v>
      </c>
      <c r="M73" s="1155">
        <v>5</v>
      </c>
      <c r="N73" s="1155">
        <v>6</v>
      </c>
      <c r="O73" s="1159">
        <v>2</v>
      </c>
      <c r="P73" s="1280"/>
    </row>
    <row r="74" spans="5:16" ht="15.45" thickTop="1" thickBot="1">
      <c r="E74" s="1279"/>
      <c r="G74" s="1142" t="s">
        <v>1436</v>
      </c>
      <c r="H74" s="1125" t="s">
        <v>348</v>
      </c>
      <c r="I74" s="1267">
        <v>2</v>
      </c>
      <c r="J74" s="1125" t="s">
        <v>348</v>
      </c>
      <c r="K74" s="1125" t="s">
        <v>348</v>
      </c>
      <c r="L74" s="1125" t="s">
        <v>348</v>
      </c>
      <c r="M74" s="1124" t="s">
        <v>238</v>
      </c>
      <c r="N74" s="1124" t="s">
        <v>1598</v>
      </c>
      <c r="O74" s="1281">
        <v>3</v>
      </c>
      <c r="P74" s="1280"/>
    </row>
    <row r="75" spans="5:16" ht="15.45" thickTop="1" thickBot="1">
      <c r="E75" s="1279"/>
      <c r="G75" s="1117" t="s">
        <v>1432</v>
      </c>
      <c r="H75" s="1124" t="s">
        <v>238</v>
      </c>
      <c r="I75" s="1156">
        <v>3</v>
      </c>
      <c r="J75" s="1125" t="s">
        <v>348</v>
      </c>
      <c r="K75" s="1124" t="s">
        <v>238</v>
      </c>
      <c r="L75" s="1124" t="s">
        <v>238</v>
      </c>
      <c r="M75" s="1124" t="s">
        <v>1598</v>
      </c>
      <c r="N75" s="1123" t="s">
        <v>260</v>
      </c>
      <c r="O75" s="1281">
        <v>4</v>
      </c>
      <c r="P75" s="1280"/>
    </row>
    <row r="76" spans="5:16" ht="15.45" thickTop="1" thickBot="1">
      <c r="E76" s="1279"/>
      <c r="G76" s="1143" t="s">
        <v>1433</v>
      </c>
      <c r="H76" s="1123" t="s">
        <v>260</v>
      </c>
      <c r="I76" s="1156">
        <v>4</v>
      </c>
      <c r="J76" s="1125" t="s">
        <v>348</v>
      </c>
      <c r="K76" s="1124" t="s">
        <v>238</v>
      </c>
      <c r="L76" s="1123" t="s">
        <v>1599</v>
      </c>
      <c r="M76" s="1123" t="s">
        <v>260</v>
      </c>
      <c r="N76" s="1119" t="s">
        <v>261</v>
      </c>
      <c r="O76" s="1281">
        <v>5</v>
      </c>
      <c r="P76" s="1280"/>
    </row>
    <row r="77" spans="5:16" ht="15.45" thickTop="1" thickBot="1">
      <c r="E77" s="1279"/>
      <c r="G77" s="1144" t="s">
        <v>1434</v>
      </c>
      <c r="H77" s="1122" t="s">
        <v>261</v>
      </c>
      <c r="I77" s="1165">
        <v>5</v>
      </c>
      <c r="J77" s="1125" t="s">
        <v>348</v>
      </c>
      <c r="K77" s="1124" t="s">
        <v>1598</v>
      </c>
      <c r="L77" s="1123" t="s">
        <v>260</v>
      </c>
      <c r="M77" s="1119" t="s">
        <v>261</v>
      </c>
      <c r="N77" s="1046" t="s">
        <v>235</v>
      </c>
      <c r="O77" s="1281">
        <v>6</v>
      </c>
      <c r="P77" s="1280"/>
    </row>
    <row r="78" spans="5:16" ht="15.45" thickTop="1" thickBot="1">
      <c r="E78" s="1279"/>
      <c r="G78" s="1145" t="s">
        <v>1435</v>
      </c>
      <c r="H78" s="1121" t="s">
        <v>235</v>
      </c>
      <c r="I78" s="1157">
        <v>6</v>
      </c>
      <c r="J78" s="1125" t="s">
        <v>1600</v>
      </c>
      <c r="K78" s="1124" t="s">
        <v>238</v>
      </c>
      <c r="L78" s="1123" t="s">
        <v>260</v>
      </c>
      <c r="M78" s="1119" t="s">
        <v>261</v>
      </c>
      <c r="N78" s="1046" t="s">
        <v>235</v>
      </c>
      <c r="O78" s="1281" t="s">
        <v>1587</v>
      </c>
      <c r="P78" s="1280"/>
    </row>
    <row r="79" spans="5:16" ht="15.45" thickTop="1" thickBot="1">
      <c r="E79" s="1279"/>
      <c r="H79" s="1281" t="s">
        <v>1596</v>
      </c>
      <c r="I79" s="1158">
        <v>2</v>
      </c>
      <c r="J79" s="1281">
        <v>3</v>
      </c>
      <c r="K79" s="1281">
        <v>4</v>
      </c>
      <c r="L79" s="1281">
        <v>5</v>
      </c>
      <c r="M79" s="1281">
        <v>6</v>
      </c>
      <c r="N79" s="1281" t="s">
        <v>1597</v>
      </c>
      <c r="O79" s="11"/>
      <c r="P79" s="1280"/>
    </row>
    <row r="80" spans="5:16" ht="15" thickTop="1">
      <c r="E80" s="1279"/>
      <c r="P80" s="1280"/>
    </row>
    <row r="81" spans="5:16" ht="15" thickBot="1">
      <c r="E81" s="1279"/>
      <c r="H81" s="1203" t="s">
        <v>1593</v>
      </c>
      <c r="J81" s="1203" t="s">
        <v>1592</v>
      </c>
      <c r="P81" s="1280"/>
    </row>
    <row r="82" spans="5:16" ht="15" thickBot="1">
      <c r="E82" s="1279"/>
      <c r="G82" s="1162" t="s">
        <v>1590</v>
      </c>
      <c r="H82" s="1233" t="s">
        <v>348</v>
      </c>
      <c r="I82" s="1162" t="s">
        <v>1539</v>
      </c>
      <c r="J82" s="1285">
        <v>7</v>
      </c>
      <c r="K82" s="1162" t="s">
        <v>1541</v>
      </c>
      <c r="L82" s="1233" t="str">
        <f>VLOOKUP($H$82,$H$72:$N$78,J82,FALSE)</f>
        <v>Low_</v>
      </c>
      <c r="M82" s="1160" t="s">
        <v>1594</v>
      </c>
      <c r="N82" s="1235">
        <f>VLOOKUP($H$82,$H$72:$N$78,2,FALSE)</f>
        <v>2</v>
      </c>
      <c r="P82" s="1280"/>
    </row>
    <row r="83" spans="5:16" ht="15" thickBot="1">
      <c r="E83" s="1279"/>
      <c r="G83" s="1163" t="s">
        <v>1591</v>
      </c>
      <c r="H83" s="1234" t="s">
        <v>260</v>
      </c>
      <c r="I83" s="1163" t="s">
        <v>1540</v>
      </c>
      <c r="J83" s="1285">
        <v>5</v>
      </c>
      <c r="K83" s="1163" t="s">
        <v>1542</v>
      </c>
      <c r="L83" s="1234" t="str">
        <f>HLOOKUP($H$83,$H$72:$N$78,J83,FALSE)</f>
        <v>Moderate_</v>
      </c>
      <c r="M83" s="1161" t="s">
        <v>1595</v>
      </c>
      <c r="N83" s="1236">
        <f>HLOOKUP($H$83,$H$72:$N$78,2,FALSE)</f>
        <v>4</v>
      </c>
      <c r="P83" s="1280"/>
    </row>
    <row r="84" spans="5:16">
      <c r="E84" s="1279"/>
      <c r="P84" s="1280"/>
    </row>
    <row r="85" spans="5:16" ht="15" thickBot="1">
      <c r="E85" s="1279"/>
      <c r="H85" s="534"/>
      <c r="I85" s="1173"/>
      <c r="J85" s="534"/>
      <c r="K85" s="1173"/>
      <c r="L85" s="534"/>
      <c r="M85" s="1173"/>
      <c r="P85" s="1280"/>
    </row>
    <row r="86" spans="5:16" ht="15.75" customHeight="1" thickTop="1">
      <c r="E86" s="1279"/>
      <c r="F86" s="2374" t="s">
        <v>1456</v>
      </c>
      <c r="G86" s="2375"/>
      <c r="H86" s="2375"/>
      <c r="I86" s="2375"/>
      <c r="J86" s="2375"/>
      <c r="K86" s="2375"/>
      <c r="L86" s="2375"/>
      <c r="M86" s="2375"/>
      <c r="N86" s="2375"/>
      <c r="O86" s="2392"/>
      <c r="P86" s="1280"/>
    </row>
    <row r="87" spans="5:16" ht="15" thickBot="1">
      <c r="E87" s="1279"/>
      <c r="F87" s="1175"/>
      <c r="G87" s="1182"/>
      <c r="H87" s="1183"/>
      <c r="I87" s="1182"/>
      <c r="J87" s="1183"/>
      <c r="K87" s="1182"/>
      <c r="L87" s="1183"/>
      <c r="M87" s="1184"/>
      <c r="N87" s="1184"/>
      <c r="O87" s="1180"/>
      <c r="P87" s="1280"/>
    </row>
    <row r="88" spans="5:16" ht="16.75" thickTop="1" thickBot="1">
      <c r="E88" s="1279"/>
      <c r="F88" s="1176" t="s">
        <v>1457</v>
      </c>
      <c r="G88" s="1185">
        <f>HLOOKUP(K88,$H$72:$N$78,2,FALSE)</f>
        <v>2</v>
      </c>
      <c r="H88" s="1182" t="s">
        <v>1455</v>
      </c>
      <c r="I88" s="1186" t="str">
        <f>VLOOKUP(K88,$H$72:$N$78, HLOOKUP(K89,$H$72:$N$78,2,FALSE)+1,FALSE)</f>
        <v>Very Low</v>
      </c>
      <c r="J88" s="1178" t="s">
        <v>1452</v>
      </c>
      <c r="K88" s="1187" t="s">
        <v>348</v>
      </c>
      <c r="L88" s="1184" t="s">
        <v>1454</v>
      </c>
      <c r="M88" s="1223" t="s">
        <v>1465</v>
      </c>
      <c r="N88" s="1219" t="s">
        <v>1498</v>
      </c>
      <c r="O88" s="1180"/>
      <c r="P88" s="1280"/>
    </row>
    <row r="89" spans="5:16" ht="16.75" thickTop="1" thickBot="1">
      <c r="E89" s="1279"/>
      <c r="F89" s="1176" t="s">
        <v>1451</v>
      </c>
      <c r="G89" s="1185">
        <f>VLOOKUP(K89,$H$72:$N$78,2,FALSE)</f>
        <v>4</v>
      </c>
      <c r="H89" s="1184"/>
      <c r="I89" s="1184"/>
      <c r="J89" s="1178" t="s">
        <v>1453</v>
      </c>
      <c r="K89" s="1187" t="s">
        <v>260</v>
      </c>
      <c r="L89" s="1184" t="s">
        <v>1458</v>
      </c>
      <c r="M89" s="1223" t="s">
        <v>1466</v>
      </c>
      <c r="N89" s="1220" t="s">
        <v>1499</v>
      </c>
      <c r="O89" s="1180"/>
      <c r="P89" s="1280"/>
    </row>
    <row r="90" spans="5:16" ht="15" thickTop="1">
      <c r="E90" s="1279"/>
      <c r="F90" s="1175"/>
      <c r="G90" s="1184"/>
      <c r="H90" s="1184"/>
      <c r="I90" s="1184"/>
      <c r="J90" s="1184"/>
      <c r="K90" s="1184"/>
      <c r="L90" s="1184"/>
      <c r="M90" s="1184"/>
      <c r="N90" s="1184"/>
      <c r="O90" s="1180"/>
      <c r="P90" s="1280"/>
    </row>
    <row r="91" spans="5:16" ht="15" thickBot="1">
      <c r="E91" s="1279"/>
      <c r="F91" s="1177"/>
      <c r="G91" s="1179"/>
      <c r="H91" s="1179"/>
      <c r="I91" s="1179"/>
      <c r="J91" s="1179"/>
      <c r="K91" s="1179"/>
      <c r="L91" s="1179"/>
      <c r="M91" s="1179"/>
      <c r="N91" s="1179"/>
      <c r="O91" s="1181"/>
      <c r="P91" s="1280"/>
    </row>
    <row r="92" spans="5:16" ht="15.45" thickTop="1" thickBot="1">
      <c r="E92" s="1282"/>
      <c r="F92" s="1283"/>
      <c r="G92" s="1283"/>
      <c r="H92" s="1283"/>
      <c r="I92" s="1283"/>
      <c r="J92" s="1283"/>
      <c r="K92" s="1283"/>
      <c r="L92" s="1283"/>
      <c r="M92" s="1283"/>
      <c r="N92" s="1283"/>
      <c r="O92" s="1283"/>
      <c r="P92" s="1284"/>
    </row>
    <row r="93" spans="5:16" ht="15" thickTop="1"/>
    <row r="96" spans="5:16" ht="15" thickBot="1"/>
    <row r="97" spans="8:14" ht="26.6" thickTop="1">
      <c r="H97" s="1276"/>
      <c r="I97" s="1277"/>
      <c r="J97" s="1323" t="s">
        <v>1534</v>
      </c>
      <c r="K97" s="1277"/>
      <c r="L97" s="1277"/>
      <c r="M97" s="1277"/>
      <c r="N97" s="1278"/>
    </row>
    <row r="98" spans="8:14" ht="15" thickBot="1">
      <c r="H98" s="1324"/>
      <c r="I98" s="99"/>
      <c r="J98" s="99"/>
      <c r="K98" s="99"/>
      <c r="L98" s="99"/>
      <c r="M98" s="99"/>
      <c r="N98" s="1325"/>
    </row>
    <row r="99" spans="8:14" ht="15" thickTop="1">
      <c r="H99" s="2352" t="s">
        <v>1496</v>
      </c>
      <c r="I99" s="2353"/>
      <c r="J99" s="2353"/>
      <c r="K99" s="2353"/>
      <c r="L99" s="2353"/>
      <c r="M99" s="2353"/>
      <c r="N99" s="2382"/>
    </row>
    <row r="100" spans="8:14" ht="15" thickBot="1">
      <c r="H100" s="2354"/>
      <c r="I100" s="2355"/>
      <c r="J100" s="2355"/>
      <c r="K100" s="2355"/>
      <c r="L100" s="2355"/>
      <c r="M100" s="2355"/>
      <c r="N100" s="2383"/>
    </row>
    <row r="101" spans="8:14" ht="19.3" thickTop="1" thickBot="1">
      <c r="H101" s="2346" t="s">
        <v>1493</v>
      </c>
      <c r="I101" s="2347"/>
      <c r="J101" s="2362" t="s">
        <v>1492</v>
      </c>
      <c r="K101" s="2393"/>
      <c r="L101" s="2393"/>
      <c r="M101" s="2393"/>
      <c r="N101" s="2394"/>
    </row>
    <row r="102" spans="8:14" ht="16.75" thickTop="1" thickBot="1">
      <c r="H102" s="2348"/>
      <c r="I102" s="2349"/>
      <c r="J102" s="1286" t="s">
        <v>1431</v>
      </c>
      <c r="K102" s="1287" t="s">
        <v>1432</v>
      </c>
      <c r="L102" s="1288" t="s">
        <v>1433</v>
      </c>
      <c r="M102" s="1289" t="s">
        <v>1434</v>
      </c>
      <c r="N102" s="1290" t="s">
        <v>1435</v>
      </c>
    </row>
    <row r="103" spans="8:14" ht="16.75" thickTop="1" thickBot="1">
      <c r="H103" s="2350"/>
      <c r="I103" s="2351"/>
      <c r="J103" s="1291" t="s">
        <v>348</v>
      </c>
      <c r="K103" s="1292" t="s">
        <v>238</v>
      </c>
      <c r="L103" s="1293" t="s">
        <v>260</v>
      </c>
      <c r="M103" s="1294" t="s">
        <v>261</v>
      </c>
      <c r="N103" s="1295" t="s">
        <v>235</v>
      </c>
    </row>
    <row r="104" spans="8:14" ht="16.75" thickTop="1" thickBot="1">
      <c r="H104" s="1296" t="s">
        <v>1435</v>
      </c>
      <c r="I104" s="1297" t="s">
        <v>235</v>
      </c>
      <c r="J104" s="1298" t="s">
        <v>1543</v>
      </c>
      <c r="K104" s="1299" t="s">
        <v>1544</v>
      </c>
      <c r="L104" s="1300" t="s">
        <v>1545</v>
      </c>
      <c r="M104" s="1301" t="s">
        <v>1546</v>
      </c>
      <c r="N104" s="1302" t="s">
        <v>1547</v>
      </c>
    </row>
    <row r="105" spans="8:14" ht="16.75" thickTop="1" thickBot="1">
      <c r="H105" s="1303" t="s">
        <v>1434</v>
      </c>
      <c r="I105" s="1304" t="s">
        <v>261</v>
      </c>
      <c r="J105" s="1298" t="s">
        <v>1548</v>
      </c>
      <c r="K105" s="1305" t="s">
        <v>1549</v>
      </c>
      <c r="L105" s="1306" t="s">
        <v>1550</v>
      </c>
      <c r="M105" s="1307" t="s">
        <v>1551</v>
      </c>
      <c r="N105" s="1308" t="s">
        <v>1552</v>
      </c>
    </row>
    <row r="106" spans="8:14" ht="16.75" thickTop="1" thickBot="1">
      <c r="H106" s="1309" t="s">
        <v>1433</v>
      </c>
      <c r="I106" s="1310" t="s">
        <v>260</v>
      </c>
      <c r="J106" s="1298" t="s">
        <v>1553</v>
      </c>
      <c r="K106" s="1311" t="s">
        <v>1554</v>
      </c>
      <c r="L106" s="1306" t="s">
        <v>1555</v>
      </c>
      <c r="M106" s="1306" t="s">
        <v>1556</v>
      </c>
      <c r="N106" s="1312" t="s">
        <v>1557</v>
      </c>
    </row>
    <row r="107" spans="8:14" ht="16.75" thickTop="1" thickBot="1">
      <c r="H107" s="1313" t="s">
        <v>1432</v>
      </c>
      <c r="I107" s="1314" t="s">
        <v>238</v>
      </c>
      <c r="J107" s="1298" t="s">
        <v>1558</v>
      </c>
      <c r="K107" s="1311" t="s">
        <v>1559</v>
      </c>
      <c r="L107" s="1305" t="s">
        <v>1560</v>
      </c>
      <c r="M107" s="1305" t="s">
        <v>1561</v>
      </c>
      <c r="N107" s="1315" t="s">
        <v>1562</v>
      </c>
    </row>
    <row r="108" spans="8:14" ht="16.75" thickTop="1" thickBot="1">
      <c r="H108" s="1316" t="s">
        <v>1436</v>
      </c>
      <c r="I108" s="1317" t="s">
        <v>348</v>
      </c>
      <c r="J108" s="1318" t="s">
        <v>1563</v>
      </c>
      <c r="K108" s="1319" t="s">
        <v>1564</v>
      </c>
      <c r="L108" s="1320" t="s">
        <v>1565</v>
      </c>
      <c r="M108" s="1321" t="s">
        <v>1566</v>
      </c>
      <c r="N108" s="1322" t="s">
        <v>1567</v>
      </c>
    </row>
    <row r="109" spans="8:14" ht="15" thickTop="1"/>
  </sheetData>
  <mergeCells count="12">
    <mergeCell ref="J70:N70"/>
    <mergeCell ref="D2:P3"/>
    <mergeCell ref="D10:G11"/>
    <mergeCell ref="H10:P10"/>
    <mergeCell ref="D29:Q29"/>
    <mergeCell ref="L32:N32"/>
    <mergeCell ref="L38:N38"/>
    <mergeCell ref="H99:N100"/>
    <mergeCell ref="H101:I103"/>
    <mergeCell ref="J101:N101"/>
    <mergeCell ref="F71:I71"/>
    <mergeCell ref="F86:O86"/>
  </mergeCells>
  <dataValidations count="2">
    <dataValidation type="list" allowBlank="1" showInputMessage="1" showErrorMessage="1" sqref="H82:H83 K88:K89" xr:uid="{00000000-0002-0000-2100-000000000000}">
      <formula1>$H$74:$H$78</formula1>
    </dataValidation>
    <dataValidation type="list" allowBlank="1" showInputMessage="1" showErrorMessage="1" sqref="J82:J83" xr:uid="{00000000-0002-0000-2100-000001000000}">
      <formula1>"1,2,3,4,5,6,7"</formula1>
    </dataValidation>
  </dataValidations>
  <pageMargins left="0.7" right="0.7" top="0.75" bottom="0.75" header="0.3" footer="0.3"/>
  <pageSetup orientation="portrait" verticalDpi="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tabColor rgb="FF92D050"/>
  </sheetPr>
  <dimension ref="B1:M29"/>
  <sheetViews>
    <sheetView workbookViewId="0"/>
  </sheetViews>
  <sheetFormatPr defaultRowHeight="14.6"/>
  <cols>
    <col min="3" max="3" width="16" customWidth="1"/>
    <col min="4" max="4" width="10.69140625" customWidth="1"/>
    <col min="5" max="5" width="36.3046875" customWidth="1"/>
    <col min="6" max="6" width="41.69140625" customWidth="1"/>
    <col min="7" max="7" width="12.69140625" customWidth="1"/>
    <col min="8" max="8" width="36.69140625" customWidth="1"/>
    <col min="9" max="9" width="26.69140625" customWidth="1"/>
    <col min="10" max="10" width="29.69140625" customWidth="1"/>
    <col min="11" max="11" width="24.69140625" customWidth="1"/>
    <col min="12" max="12" width="32.69140625" customWidth="1"/>
    <col min="13" max="13" width="24.69140625" customWidth="1"/>
  </cols>
  <sheetData>
    <row r="1" spans="2:13" ht="15" thickBot="1"/>
    <row r="2" spans="2:13" ht="19.3" thickTop="1" thickBot="1">
      <c r="E2" s="2083" t="s">
        <v>1142</v>
      </c>
      <c r="F2" s="2097"/>
      <c r="G2" s="2097"/>
      <c r="H2" s="2097"/>
      <c r="I2" s="2097"/>
      <c r="J2" s="2097"/>
      <c r="K2" s="2097"/>
      <c r="L2" s="2097"/>
      <c r="M2" s="2084"/>
    </row>
    <row r="3" spans="2:13" ht="15.45" thickTop="1" thickBot="1">
      <c r="B3" s="912" t="s">
        <v>1300</v>
      </c>
      <c r="C3" s="912"/>
      <c r="D3" s="912"/>
      <c r="E3" s="912"/>
    </row>
    <row r="4" spans="2:13" ht="19.3" thickTop="1" thickBot="1">
      <c r="E4" s="2091" t="s">
        <v>1201</v>
      </c>
      <c r="F4" s="2093"/>
      <c r="G4" s="632" t="s">
        <v>1205</v>
      </c>
      <c r="H4" s="2091" t="s">
        <v>1202</v>
      </c>
      <c r="I4" s="2093"/>
      <c r="J4" s="2091" t="s">
        <v>1203</v>
      </c>
      <c r="K4" s="2093"/>
      <c r="L4" s="2091" t="s">
        <v>1204</v>
      </c>
      <c r="M4" s="2093"/>
    </row>
    <row r="5" spans="2:13" ht="15.45" thickTop="1" thickBot="1">
      <c r="B5" s="807"/>
      <c r="C5" s="804" t="s">
        <v>170</v>
      </c>
      <c r="D5" s="800" t="s">
        <v>226</v>
      </c>
      <c r="E5" s="2451" t="s">
        <v>1168</v>
      </c>
      <c r="F5" s="2452"/>
      <c r="G5" s="160" t="s">
        <v>153</v>
      </c>
      <c r="H5" s="2451" t="s">
        <v>1171</v>
      </c>
      <c r="I5" s="2452"/>
      <c r="J5" s="2451" t="s">
        <v>1172</v>
      </c>
      <c r="K5" s="2452"/>
      <c r="L5" s="2451" t="s">
        <v>1173</v>
      </c>
      <c r="M5" s="2452"/>
    </row>
    <row r="6" spans="2:13" ht="15.45" thickTop="1" thickBot="1">
      <c r="B6" s="411" t="s">
        <v>1297</v>
      </c>
      <c r="C6" s="805" t="s">
        <v>1299</v>
      </c>
      <c r="D6" s="801" t="s">
        <v>1298</v>
      </c>
      <c r="E6" s="802" t="s">
        <v>1698</v>
      </c>
      <c r="F6" s="803" t="s">
        <v>1699</v>
      </c>
      <c r="G6" s="598" t="s">
        <v>1608</v>
      </c>
      <c r="H6" s="802" t="s">
        <v>1697</v>
      </c>
      <c r="I6" s="803" t="s">
        <v>1700</v>
      </c>
      <c r="J6" s="802" t="s">
        <v>1179</v>
      </c>
      <c r="K6" s="803" t="s">
        <v>1180</v>
      </c>
      <c r="L6" s="802" t="s">
        <v>1181</v>
      </c>
      <c r="M6" s="803" t="s">
        <v>1182</v>
      </c>
    </row>
    <row r="7" spans="2:13" s="6" customFormat="1" ht="15.45" thickTop="1" thickBot="1">
      <c r="B7" s="806" t="s">
        <v>1121</v>
      </c>
      <c r="C7" s="1546" t="str">
        <f>Work!$J$8</f>
        <v>Adversarial</v>
      </c>
      <c r="D7" s="1547">
        <f>Work!$B$8</f>
        <v>3</v>
      </c>
      <c r="E7" s="1547" t="str">
        <f>IF(Adversarial, Work!$L$8,"n/a")</f>
        <v>Adversarial</v>
      </c>
      <c r="F7" s="1547" t="str">
        <f>IF(Adversarial, Work!M8,"n/a")</f>
        <v>Organization Definition #1 (Extra )</v>
      </c>
      <c r="G7" s="1547" t="str">
        <f>Work!$N$8</f>
        <v>Yes</v>
      </c>
      <c r="H7" s="1547" t="str">
        <f>IF(Adversarial, Work!$O$8,"n/a")</f>
        <v>80-95+  (High)</v>
      </c>
      <c r="I7" s="1548">
        <f>IF(Adversarial, Work!$P$8,"n/a")</f>
        <v>88</v>
      </c>
      <c r="J7" s="1547" t="str">
        <f>IF(Adversarial, Work!$R$8,"n/a")</f>
        <v>5-20+   (Low)</v>
      </c>
      <c r="K7" s="1549">
        <f>IF(Adversarial, Work!$S$8,"n/a")</f>
        <v>13</v>
      </c>
      <c r="L7" s="1547" t="str">
        <f>IF(Adversarial, Work!$U$8,"n/a")</f>
        <v>5-20+   (Low)</v>
      </c>
      <c r="M7" s="1550">
        <f>IF(Adversarial, Work!$V$8,"n/a")</f>
        <v>13</v>
      </c>
    </row>
    <row r="8" spans="2:13" ht="15" thickTop="1"/>
    <row r="22" spans="2:9" ht="15" thickBot="1"/>
    <row r="23" spans="2:9" ht="19.3" thickTop="1" thickBot="1">
      <c r="E23" s="2083" t="s">
        <v>1143</v>
      </c>
      <c r="F23" s="2097"/>
      <c r="G23" s="2097"/>
      <c r="H23" s="2097"/>
      <c r="I23" s="2084"/>
    </row>
    <row r="24" spans="2:9" ht="15.45" thickTop="1" thickBot="1">
      <c r="B24" s="912" t="s">
        <v>1300</v>
      </c>
      <c r="C24" s="912"/>
      <c r="D24" s="912"/>
      <c r="E24" s="912"/>
    </row>
    <row r="25" spans="2:9" ht="19.3" thickTop="1" thickBot="1">
      <c r="E25" s="2091" t="s">
        <v>1208</v>
      </c>
      <c r="F25" s="2093"/>
      <c r="G25" s="632" t="s">
        <v>1206</v>
      </c>
      <c r="H25" s="2091" t="s">
        <v>1207</v>
      </c>
      <c r="I25" s="2093"/>
    </row>
    <row r="26" spans="2:9" ht="15.45" thickTop="1" thickBot="1">
      <c r="C26" s="800" t="s">
        <v>170</v>
      </c>
      <c r="D26" s="800" t="s">
        <v>226</v>
      </c>
      <c r="E26" s="2451" t="s">
        <v>1168</v>
      </c>
      <c r="F26" s="2452"/>
      <c r="G26" s="160" t="s">
        <v>153</v>
      </c>
      <c r="H26" s="2451" t="s">
        <v>1174</v>
      </c>
      <c r="I26" s="2452"/>
    </row>
    <row r="27" spans="2:9" ht="15.45" thickTop="1" thickBot="1">
      <c r="B27" s="411" t="s">
        <v>1297</v>
      </c>
      <c r="C27" s="801" t="s">
        <v>1138</v>
      </c>
      <c r="D27" s="801" t="s">
        <v>1139</v>
      </c>
      <c r="E27" s="802" t="s">
        <v>1169</v>
      </c>
      <c r="F27" s="803" t="s">
        <v>1170</v>
      </c>
      <c r="G27" s="14" t="s">
        <v>1141</v>
      </c>
      <c r="H27" s="802" t="s">
        <v>1183</v>
      </c>
      <c r="I27" s="803" t="s">
        <v>1184</v>
      </c>
    </row>
    <row r="28" spans="2:9" s="6" customFormat="1" ht="15.45" thickTop="1" thickBot="1">
      <c r="B28" s="806" t="s">
        <v>1121</v>
      </c>
      <c r="C28" s="1546" t="str">
        <f>IF(Adversarial, "",Work!$J$8)</f>
        <v/>
      </c>
      <c r="D28" s="1547" t="str">
        <f>IF(Adversarial, "", Work!$B$8)</f>
        <v/>
      </c>
      <c r="E28" s="1547" t="str">
        <f>IF(Adversarial, "n/a",  Work!$L$8)</f>
        <v>n/a</v>
      </c>
      <c r="F28" s="1547" t="str">
        <f>IF(Adversarial, "n/a", Work!$M$8)</f>
        <v>n/a</v>
      </c>
      <c r="G28" s="1547" t="str">
        <f>IF(Adversarial, "", Work!$N$8)</f>
        <v/>
      </c>
      <c r="H28" s="1547" t="str">
        <f>IF(Adversarial, "n/a", Work!$X$8)</f>
        <v>n/a</v>
      </c>
      <c r="I28" s="1551" t="str">
        <f>IF(Adversarial, "n/a", Work!$Y$8)</f>
        <v>n/a</v>
      </c>
    </row>
    <row r="29" spans="2:9" ht="15" thickTop="1"/>
  </sheetData>
  <mergeCells count="14">
    <mergeCell ref="E2:M2"/>
    <mergeCell ref="E23:I23"/>
    <mergeCell ref="E4:F4"/>
    <mergeCell ref="H4:I4"/>
    <mergeCell ref="J4:K4"/>
    <mergeCell ref="L4:M4"/>
    <mergeCell ref="E5:F5"/>
    <mergeCell ref="H5:I5"/>
    <mergeCell ref="E26:F26"/>
    <mergeCell ref="H26:I26"/>
    <mergeCell ref="J5:K5"/>
    <mergeCell ref="L5:M5"/>
    <mergeCell ref="H25:I25"/>
    <mergeCell ref="E25:F25"/>
  </mergeCells>
  <pageMargins left="0.7" right="0.7" top="0.75" bottom="0.75" header="0.3" footer="0.3"/>
  <pageSetup orientation="portrait" verticalDpi="0"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rgb="FF92D050"/>
  </sheetPr>
  <dimension ref="B1:U8"/>
  <sheetViews>
    <sheetView workbookViewId="0"/>
  </sheetViews>
  <sheetFormatPr defaultRowHeight="14.6"/>
  <cols>
    <col min="3" max="3" width="16" customWidth="1"/>
    <col min="4" max="4" width="13" customWidth="1"/>
    <col min="5" max="5" width="60.69140625" customWidth="1"/>
    <col min="6" max="6" width="96.69140625" customWidth="1"/>
    <col min="7" max="7" width="42" customWidth="1"/>
    <col min="8" max="8" width="32.69140625" customWidth="1"/>
    <col min="9" max="9" width="38.69140625" customWidth="1"/>
    <col min="10" max="10" width="9.69140625" customWidth="1"/>
    <col min="11" max="16" width="24.69140625" customWidth="1"/>
    <col min="17" max="17" width="33.69140625" customWidth="1"/>
    <col min="18" max="18" width="39.69140625" customWidth="1"/>
    <col min="20" max="20" width="34.69140625" customWidth="1"/>
    <col min="21" max="21" width="24.69140625" customWidth="1"/>
  </cols>
  <sheetData>
    <row r="1" spans="2:21" ht="15" thickBot="1"/>
    <row r="2" spans="2:21" ht="19.3" thickTop="1" thickBot="1">
      <c r="H2" s="2113" t="s">
        <v>42</v>
      </c>
      <c r="I2" s="2114"/>
      <c r="J2" s="2114"/>
      <c r="K2" s="2114"/>
      <c r="L2" s="2114"/>
      <c r="M2" s="2114"/>
      <c r="N2" s="2114"/>
      <c r="O2" s="2114"/>
      <c r="P2" s="2114"/>
      <c r="Q2" s="2114"/>
      <c r="R2" s="2114"/>
      <c r="S2" s="2114"/>
      <c r="T2" s="2114"/>
      <c r="U2" s="2457"/>
    </row>
    <row r="3" spans="2:21" ht="19.3" thickTop="1" thickBot="1">
      <c r="C3" s="128" t="s">
        <v>1144</v>
      </c>
      <c r="H3" s="2134" t="s">
        <v>1148</v>
      </c>
      <c r="I3" s="2135"/>
      <c r="J3" s="2135"/>
      <c r="K3" s="2135"/>
      <c r="L3" s="2135"/>
      <c r="M3" s="2135"/>
      <c r="N3" s="2135"/>
      <c r="O3" s="2135"/>
      <c r="P3" s="2136"/>
      <c r="Q3" s="2114" t="s">
        <v>1149</v>
      </c>
      <c r="R3" s="2114"/>
      <c r="S3" s="2114"/>
      <c r="T3" s="2114"/>
      <c r="U3" s="2457"/>
    </row>
    <row r="4" spans="2:21" ht="19.3" thickTop="1" thickBot="1">
      <c r="E4" s="2137" t="s">
        <v>1198</v>
      </c>
      <c r="F4" s="2174"/>
      <c r="G4" s="2174"/>
      <c r="H4" s="2091" t="s">
        <v>1176</v>
      </c>
      <c r="I4" s="2093"/>
      <c r="K4" s="2091" t="s">
        <v>296</v>
      </c>
      <c r="L4" s="2093"/>
      <c r="M4" s="2091" t="s">
        <v>297</v>
      </c>
      <c r="N4" s="2093"/>
      <c r="O4" s="2091" t="s">
        <v>298</v>
      </c>
      <c r="P4" s="2093"/>
      <c r="Q4" s="2091" t="s">
        <v>1176</v>
      </c>
      <c r="R4" s="2093"/>
      <c r="T4" s="2091" t="s">
        <v>1175</v>
      </c>
      <c r="U4" s="2093"/>
    </row>
    <row r="5" spans="2:21" ht="19.3" thickTop="1" thickBot="1">
      <c r="C5" s="815" t="s">
        <v>170</v>
      </c>
      <c r="D5" s="816" t="s">
        <v>226</v>
      </c>
      <c r="E5" s="2453"/>
      <c r="F5" s="2454"/>
      <c r="G5" s="2455"/>
      <c r="H5" s="2456" t="s">
        <v>1168</v>
      </c>
      <c r="I5" s="2452"/>
      <c r="J5" s="160" t="s">
        <v>153</v>
      </c>
      <c r="K5" s="2451" t="s">
        <v>1171</v>
      </c>
      <c r="L5" s="2452"/>
      <c r="M5" s="2451" t="s">
        <v>1172</v>
      </c>
      <c r="N5" s="2452"/>
      <c r="O5" s="2451" t="s">
        <v>1173</v>
      </c>
      <c r="P5" s="2452"/>
      <c r="Q5" s="2456" t="s">
        <v>1168</v>
      </c>
      <c r="R5" s="2452"/>
      <c r="S5" s="160" t="s">
        <v>153</v>
      </c>
      <c r="T5" s="2451" t="s">
        <v>1174</v>
      </c>
      <c r="U5" s="2452"/>
    </row>
    <row r="6" spans="2:21" ht="15.45" thickTop="1" thickBot="1">
      <c r="B6" s="411" t="s">
        <v>1297</v>
      </c>
      <c r="C6" s="801" t="s">
        <v>1138</v>
      </c>
      <c r="D6" s="801" t="s">
        <v>1139</v>
      </c>
      <c r="E6" s="802" t="s">
        <v>1145</v>
      </c>
      <c r="F6" s="803" t="s">
        <v>1146</v>
      </c>
      <c r="G6" s="814" t="s">
        <v>1147</v>
      </c>
      <c r="H6" s="802" t="s">
        <v>1169</v>
      </c>
      <c r="I6" s="803" t="s">
        <v>1170</v>
      </c>
      <c r="J6" s="598" t="s">
        <v>1141</v>
      </c>
      <c r="K6" s="802" t="s">
        <v>1177</v>
      </c>
      <c r="L6" s="803" t="s">
        <v>1178</v>
      </c>
      <c r="M6" s="802" t="s">
        <v>1179</v>
      </c>
      <c r="N6" s="803" t="s">
        <v>1180</v>
      </c>
      <c r="O6" s="802" t="s">
        <v>1181</v>
      </c>
      <c r="P6" s="803" t="s">
        <v>1182</v>
      </c>
      <c r="Q6" s="802" t="s">
        <v>1169</v>
      </c>
      <c r="R6" s="803" t="s">
        <v>1170</v>
      </c>
      <c r="S6" s="14" t="s">
        <v>1141</v>
      </c>
      <c r="T6" s="802" t="s">
        <v>1183</v>
      </c>
      <c r="U6" s="803" t="s">
        <v>1184</v>
      </c>
    </row>
    <row r="7" spans="2:21" ht="15.45" thickTop="1" thickBot="1">
      <c r="B7" s="806" t="s">
        <v>1121</v>
      </c>
      <c r="C7" s="808" t="str">
        <f>IF(Adversarial, "",Work!$J$8)</f>
        <v/>
      </c>
      <c r="D7" s="809" t="str">
        <f>IF(Adversarial, "", Work!$B$8)</f>
        <v/>
      </c>
      <c r="E7" s="809" t="str">
        <f>IF(Adversarial, Work!$AC$8, "")</f>
        <v>Achieve results (i.e., cause adverse impacts, obtain information)</v>
      </c>
      <c r="F7" s="809" t="str">
        <f>IF(Adversarial, Work!$AD$8, "")</f>
        <v>Obtain sensitive information via exfiltration.</v>
      </c>
      <c r="G7" s="26" t="str">
        <f>IF(Adversarial, "", "Communications contention")</f>
        <v/>
      </c>
      <c r="H7" s="809" t="str">
        <f>IF(Adversarial, Work!$L$8,"n/a")</f>
        <v>Adversarial</v>
      </c>
      <c r="I7" s="809">
        <f>IF(Adversarial, Work!P8,"n/a")</f>
        <v>88</v>
      </c>
      <c r="J7" s="809" t="str">
        <f>Work!$N$8</f>
        <v>Yes</v>
      </c>
      <c r="K7" s="809" t="str">
        <f>IF(Adversarial, Work!$O$8,"n/a")</f>
        <v>80-95+  (High)</v>
      </c>
      <c r="L7" s="810">
        <f>IF(Adversarial, Work!$P$8,"n/a")</f>
        <v>88</v>
      </c>
      <c r="M7" s="809" t="str">
        <f>IF(Adversarial, Work!$R$8,"n/a")</f>
        <v>5-20+   (Low)</v>
      </c>
      <c r="N7" s="811">
        <f>IF(Adversarial, Work!$S$8,"n/a")</f>
        <v>13</v>
      </c>
      <c r="O7" s="809" t="str">
        <f>IF(Adversarial, Work!$U$8,"n/a")</f>
        <v>5-20+   (Low)</v>
      </c>
      <c r="P7" s="812">
        <f>IF(Adversarial, Work!$V$8,"n/a")</f>
        <v>13</v>
      </c>
      <c r="Q7" s="809" t="str">
        <f>IF(Adversarial, Work!$L$8,"n/a")</f>
        <v>Adversarial</v>
      </c>
      <c r="R7" s="809" t="str">
        <f>IF(Adversarial, Work!AC8,"n/a")</f>
        <v>Achieve results (i.e., cause adverse impacts, obtain information)</v>
      </c>
      <c r="S7" s="809" t="str">
        <f>IF(Adversarial, "", Work!$N$8)</f>
        <v/>
      </c>
      <c r="T7" s="809" t="str">
        <f>IF(Adversarial, "", Work!$X$8)</f>
        <v/>
      </c>
      <c r="U7" s="813" t="str">
        <f>IF(Adversarial, "", Work!$Y$8)</f>
        <v/>
      </c>
    </row>
    <row r="8" spans="2:21" ht="15" thickTop="1">
      <c r="B8" s="912" t="s">
        <v>1300</v>
      </c>
      <c r="C8" s="912"/>
      <c r="D8" s="912"/>
      <c r="E8" s="912"/>
    </row>
  </sheetData>
  <mergeCells count="16">
    <mergeCell ref="H2:U2"/>
    <mergeCell ref="K4:L4"/>
    <mergeCell ref="H4:I4"/>
    <mergeCell ref="M4:N4"/>
    <mergeCell ref="O4:P4"/>
    <mergeCell ref="Q4:R4"/>
    <mergeCell ref="T4:U4"/>
    <mergeCell ref="O5:P5"/>
    <mergeCell ref="E4:G5"/>
    <mergeCell ref="H3:P3"/>
    <mergeCell ref="Q5:R5"/>
    <mergeCell ref="T5:U5"/>
    <mergeCell ref="Q3:U3"/>
    <mergeCell ref="H5:I5"/>
    <mergeCell ref="K5:L5"/>
    <mergeCell ref="M5:N5"/>
  </mergeCells>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rgb="FF92D050"/>
  </sheetPr>
  <dimension ref="B2:G8"/>
  <sheetViews>
    <sheetView workbookViewId="0"/>
  </sheetViews>
  <sheetFormatPr defaultRowHeight="14.6"/>
  <cols>
    <col min="3" max="3" width="16" customWidth="1"/>
    <col min="4" max="4" width="10.69140625" customWidth="1"/>
    <col min="5" max="5" width="54.69140625" customWidth="1"/>
    <col min="6" max="6" width="35.15234375" customWidth="1"/>
    <col min="7" max="9" width="24.69140625" customWidth="1"/>
  </cols>
  <sheetData>
    <row r="2" spans="2:7" ht="18.45">
      <c r="C2" s="128" t="s">
        <v>1222</v>
      </c>
    </row>
    <row r="3" spans="2:7" ht="15" thickBot="1"/>
    <row r="4" spans="2:7" ht="19.3" thickTop="1" thickBot="1">
      <c r="E4" s="2126" t="s">
        <v>1223</v>
      </c>
      <c r="F4" s="2127"/>
      <c r="G4" s="2128"/>
    </row>
    <row r="5" spans="2:7" ht="19.3" thickTop="1" thickBot="1">
      <c r="C5" s="800" t="s">
        <v>170</v>
      </c>
      <c r="D5" s="800" t="s">
        <v>226</v>
      </c>
      <c r="E5" s="822" t="s">
        <v>1219</v>
      </c>
      <c r="F5" s="2458" t="s">
        <v>1218</v>
      </c>
      <c r="G5" s="2459"/>
    </row>
    <row r="6" spans="2:7" ht="15.45" thickTop="1" thickBot="1">
      <c r="B6" s="411" t="s">
        <v>1297</v>
      </c>
      <c r="C6" s="801" t="s">
        <v>1138</v>
      </c>
      <c r="D6" s="801" t="s">
        <v>1139</v>
      </c>
      <c r="E6" s="817" t="s">
        <v>1150</v>
      </c>
      <c r="F6" s="802" t="s">
        <v>1151</v>
      </c>
      <c r="G6" s="803" t="s">
        <v>1152</v>
      </c>
    </row>
    <row r="7" spans="2:7" ht="15.45" thickTop="1" thickBot="1">
      <c r="B7" s="806" t="s">
        <v>1121</v>
      </c>
      <c r="C7" s="808" t="str">
        <f>IF(Adversarial, "",Work!$J$8)</f>
        <v/>
      </c>
      <c r="D7" s="809" t="str">
        <f>IF(Adversarial, "", Work!$B$8)</f>
        <v/>
      </c>
      <c r="E7" s="818" t="str">
        <f>IF(Work!$AJ$8=0, "?", Work!$AJ$8)</f>
        <v>Experience with known nation state attackers.</v>
      </c>
      <c r="F7" s="809" t="str">
        <f>Work!AK8</f>
        <v>21-79+  (Moderate)</v>
      </c>
      <c r="G7" s="819">
        <f>Work!AL8</f>
        <v>51</v>
      </c>
    </row>
    <row r="8" spans="2:7" ht="15" thickTop="1">
      <c r="B8" s="912" t="s">
        <v>1300</v>
      </c>
      <c r="C8" s="912"/>
      <c r="D8" s="912"/>
      <c r="E8" s="912"/>
    </row>
  </sheetData>
  <mergeCells count="2">
    <mergeCell ref="F5:G5"/>
    <mergeCell ref="E4:G4"/>
  </mergeCells>
  <pageMargins left="0.7" right="0.7" top="0.75" bottom="0.75" header="0.3" footer="0.3"/>
  <pageSetup orientation="portrait"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CD247"/>
  <sheetViews>
    <sheetView workbookViewId="0">
      <selection activeCell="A41" sqref="A41"/>
    </sheetView>
  </sheetViews>
  <sheetFormatPr defaultRowHeight="14.6"/>
  <cols>
    <col min="4" max="4" width="9.23046875" customWidth="1"/>
    <col min="31" max="31" width="5.69140625" customWidth="1"/>
    <col min="32" max="32" width="8.69140625" customWidth="1"/>
    <col min="33" max="33" width="12.69140625" customWidth="1"/>
    <col min="34" max="34" width="8.69140625" customWidth="1"/>
    <col min="35" max="35" width="12.69140625" customWidth="1"/>
    <col min="36" max="36" width="8.69140625" customWidth="1"/>
    <col min="37" max="37" width="12.69140625" customWidth="1"/>
    <col min="38" max="38" width="14.69140625" customWidth="1"/>
    <col min="39" max="39" width="16.69140625" customWidth="1"/>
    <col min="40" max="40" width="20.69140625" customWidth="1"/>
    <col min="41" max="41" width="18.69140625" customWidth="1"/>
    <col min="42" max="42" width="14.69140625" customWidth="1"/>
  </cols>
  <sheetData>
    <row r="1" spans="2:12" ht="23.15">
      <c r="B1" s="2618" t="s">
        <v>2252</v>
      </c>
      <c r="C1" s="2618"/>
      <c r="D1" s="2617" t="s">
        <v>2253</v>
      </c>
      <c r="E1" s="2618"/>
      <c r="F1" s="2618"/>
      <c r="G1" s="2618"/>
      <c r="H1" s="2618"/>
      <c r="I1" s="2618"/>
      <c r="J1" s="2618"/>
      <c r="K1" s="2618"/>
      <c r="L1" s="2618" t="s">
        <v>2254</v>
      </c>
    </row>
    <row r="28" spans="33:40">
      <c r="AG28" s="921"/>
      <c r="AH28" s="921"/>
      <c r="AI28" s="921"/>
      <c r="AJ28" s="921"/>
      <c r="AK28" s="921"/>
      <c r="AL28" s="921"/>
      <c r="AM28" s="921"/>
      <c r="AN28" s="921"/>
    </row>
    <row r="70" spans="21:40" ht="18.45">
      <c r="U70" s="128" t="s">
        <v>1609</v>
      </c>
    </row>
    <row r="71" spans="21:40" ht="15">
      <c r="AF71" s="1346" t="s">
        <v>1614</v>
      </c>
    </row>
    <row r="72" spans="21:40">
      <c r="AF72" s="17" t="s">
        <v>1615</v>
      </c>
    </row>
    <row r="74" spans="21:40" ht="15">
      <c r="AF74" s="1347" t="s">
        <v>1611</v>
      </c>
      <c r="AH74" s="17" t="s">
        <v>1616</v>
      </c>
    </row>
    <row r="75" spans="21:40" ht="15.45">
      <c r="AF75" s="1348" t="s">
        <v>1619</v>
      </c>
    </row>
    <row r="76" spans="21:40">
      <c r="AF76" t="s">
        <v>1617</v>
      </c>
      <c r="AG76">
        <v>20</v>
      </c>
      <c r="AH76">
        <v>40</v>
      </c>
      <c r="AI76">
        <v>90</v>
      </c>
    </row>
    <row r="77" spans="21:40" ht="18.45">
      <c r="AF77" t="s">
        <v>1618</v>
      </c>
      <c r="AG77">
        <v>1</v>
      </c>
      <c r="AH77">
        <v>2</v>
      </c>
      <c r="AI77">
        <v>4</v>
      </c>
      <c r="AN77" s="128"/>
    </row>
    <row r="79" spans="21:40">
      <c r="AF79" t="s">
        <v>1620</v>
      </c>
      <c r="AH79" t="s">
        <v>1628</v>
      </c>
      <c r="AM79" t="s">
        <v>1629</v>
      </c>
      <c r="AN79" s="786">
        <f>ROUND(SUMPRODUCT(AG76:AI76,AG77:AI77)/SUM(AG77:AI77), 2)</f>
        <v>65.709999999999994</v>
      </c>
    </row>
    <row r="81" spans="21:80" ht="15" thickBot="1"/>
    <row r="82" spans="21:80" ht="30" customHeight="1" thickTop="1" thickBot="1">
      <c r="U82" s="128" t="s">
        <v>1610</v>
      </c>
      <c r="AE82" s="2064" t="s">
        <v>1634</v>
      </c>
      <c r="AF82" s="2065"/>
      <c r="AG82" s="2065"/>
      <c r="AH82" s="2065"/>
      <c r="AI82" s="2065"/>
      <c r="AJ82" s="2065"/>
      <c r="AK82" s="2065"/>
      <c r="AL82" s="2065"/>
      <c r="AM82" s="2065"/>
      <c r="AN82" s="2065"/>
      <c r="AO82" s="2065"/>
      <c r="AP82" s="2066"/>
    </row>
    <row r="83" spans="21:80" ht="18.899999999999999" thickTop="1">
      <c r="AE83" s="745"/>
      <c r="AF83" s="2060" t="s">
        <v>1612</v>
      </c>
      <c r="AG83" s="2061"/>
      <c r="AH83" s="2062" t="s">
        <v>1613</v>
      </c>
      <c r="AI83" s="2063"/>
      <c r="AJ83" s="2062" t="s">
        <v>1625</v>
      </c>
      <c r="AK83" s="2063"/>
      <c r="AL83" s="2075" t="s">
        <v>1622</v>
      </c>
      <c r="AM83" s="2077" t="s">
        <v>1623</v>
      </c>
      <c r="AN83" s="2069" t="s">
        <v>1624</v>
      </c>
      <c r="AO83" s="2069" t="s">
        <v>1626</v>
      </c>
      <c r="AP83" s="2057" t="s">
        <v>1633</v>
      </c>
    </row>
    <row r="84" spans="21:80" ht="18.45">
      <c r="AE84" s="2067" t="s">
        <v>1635</v>
      </c>
      <c r="AF84" s="2071" t="s">
        <v>332</v>
      </c>
      <c r="AG84" s="1375" t="s">
        <v>1621</v>
      </c>
      <c r="AH84" s="2073" t="s">
        <v>332</v>
      </c>
      <c r="AI84" s="1375" t="s">
        <v>1621</v>
      </c>
      <c r="AJ84" s="2073" t="s">
        <v>332</v>
      </c>
      <c r="AK84" s="1375" t="s">
        <v>1621</v>
      </c>
      <c r="AL84" s="2076"/>
      <c r="AM84" s="2078"/>
      <c r="AN84" s="2067"/>
      <c r="AO84" s="2070"/>
      <c r="AP84" s="2058"/>
    </row>
    <row r="85" spans="21:80" ht="18.899999999999999" thickBot="1">
      <c r="AE85" s="2068"/>
      <c r="AF85" s="2072"/>
      <c r="AG85" s="1357" t="s">
        <v>198</v>
      </c>
      <c r="AH85" s="2074"/>
      <c r="AI85" s="1357" t="s">
        <v>198</v>
      </c>
      <c r="AJ85" s="2074"/>
      <c r="AK85" s="1357" t="s">
        <v>198</v>
      </c>
      <c r="AL85" s="2076"/>
      <c r="AM85" s="2078"/>
      <c r="AN85" s="2067"/>
      <c r="AO85" s="1420" t="s">
        <v>1627</v>
      </c>
      <c r="AP85" s="2059"/>
    </row>
    <row r="86" spans="21:80" ht="18.899999999999999" thickTop="1">
      <c r="AE86" s="1434">
        <v>0</v>
      </c>
      <c r="AF86" s="1424">
        <v>51</v>
      </c>
      <c r="AG86" s="1365">
        <v>100</v>
      </c>
      <c r="AH86" s="1358">
        <v>51</v>
      </c>
      <c r="AI86" s="1365">
        <v>100</v>
      </c>
      <c r="AJ86" s="1358">
        <v>51</v>
      </c>
      <c r="AK86" s="1365">
        <v>100</v>
      </c>
      <c r="AL86" s="1354">
        <f>MIN(AF86,AH86,AJ86)</f>
        <v>51</v>
      </c>
      <c r="AM86" s="1403">
        <f>MAX(AF86,AH86,AJ86)</f>
        <v>51</v>
      </c>
      <c r="AN86" s="1404">
        <f>ROUND(((AF86*AG86)+(AH86*AI86)+(AJ86*AK86))/(AG86+AI86+AK86),2)</f>
        <v>51</v>
      </c>
      <c r="AO86" s="1404">
        <f>ROUND(SQRT((AF86*AF86*AG86/100+AH86*AH86*AI86/100+AJ86*AJ86*AK86/100)/ (SUM( AG86 * IF(AND(IF(AG86&gt;0,1,0), IF(AG86&lt;=100,1,0)),1,0),  AI86 * IF(AND(IF(AI86&gt;0,1,0), IF(AI86&lt;=100,1,0)),1,0),   AK86 * IF(AND(IF(AK86&gt;0,1,0), IF(AK86&lt;=100,1,0)),1,0) )/100) ), 2)</f>
        <v>51</v>
      </c>
      <c r="AP86" s="1405" t="s">
        <v>260</v>
      </c>
    </row>
    <row r="87" spans="21:80" ht="18.45">
      <c r="AE87" s="1402">
        <v>1</v>
      </c>
      <c r="AF87" s="1425">
        <v>51</v>
      </c>
      <c r="AG87" s="1364">
        <v>100</v>
      </c>
      <c r="AH87" s="1355">
        <v>51</v>
      </c>
      <c r="AI87" s="1350">
        <v>50</v>
      </c>
      <c r="AJ87" s="1355">
        <v>51</v>
      </c>
      <c r="AK87" s="1352">
        <v>0</v>
      </c>
      <c r="AL87" s="1356">
        <f t="shared" ref="AL87:AL95" si="0">MIN(AF87,AH87,AJ87)</f>
        <v>51</v>
      </c>
      <c r="AM87" s="1363">
        <f t="shared" ref="AM87:AM95" si="1">MAX(AF87,AH87,AJ87)</f>
        <v>51</v>
      </c>
      <c r="AN87" s="1406">
        <f t="shared" ref="AN87:AN95" si="2">ROUND(((AF87*AG87)+(AH87*AI87)+(AJ87*AK87))/(AG87+AI87+AK87),2)</f>
        <v>51</v>
      </c>
      <c r="AO87" s="1406">
        <f t="shared" ref="AO87:AO95" si="3">ROUND(SQRT((AF87*AF87*AG87/100+AH87*AH87*AI87/100+AJ87*AJ87*AK87/100)/ (SUM( AG87 * IF(AND(IF(AG87&gt;0,1,0), IF(AG87&lt;=100,1,0)),1,0),  AI87 * IF(AND(IF(AI87&gt;0,1,0), IF(AI87&lt;=100,1,0)),1,0),   AK87 * IF(AND(IF(AK87&gt;0,1,0), IF(AK87&lt;=100,1,0)),1,0) )/100) ), 2)</f>
        <v>51</v>
      </c>
      <c r="AP87" s="1405" t="s">
        <v>260</v>
      </c>
    </row>
    <row r="88" spans="21:80" ht="18.45">
      <c r="AE88" s="1402">
        <v>2</v>
      </c>
      <c r="AF88" s="1425">
        <v>51</v>
      </c>
      <c r="AG88" s="1349">
        <v>50</v>
      </c>
      <c r="AH88" s="1355">
        <v>51</v>
      </c>
      <c r="AI88" s="1350">
        <v>50</v>
      </c>
      <c r="AJ88" s="1355">
        <v>51</v>
      </c>
      <c r="AK88" s="1352">
        <v>0</v>
      </c>
      <c r="AL88" s="1356">
        <f t="shared" si="0"/>
        <v>51</v>
      </c>
      <c r="AM88" s="1363">
        <f t="shared" si="1"/>
        <v>51</v>
      </c>
      <c r="AN88" s="1406">
        <f t="shared" si="2"/>
        <v>51</v>
      </c>
      <c r="AO88" s="1406">
        <f t="shared" si="3"/>
        <v>51</v>
      </c>
      <c r="AP88" s="1421" t="s">
        <v>1630</v>
      </c>
    </row>
    <row r="89" spans="21:80" ht="18.45">
      <c r="AE89" s="1402">
        <v>3</v>
      </c>
      <c r="AF89" s="1425">
        <v>51</v>
      </c>
      <c r="AG89" s="1353">
        <v>0</v>
      </c>
      <c r="AH89" s="1355">
        <v>51</v>
      </c>
      <c r="AI89" s="1350">
        <v>50</v>
      </c>
      <c r="AJ89" s="1355">
        <v>51</v>
      </c>
      <c r="AK89" s="1352">
        <v>0</v>
      </c>
      <c r="AL89" s="1356">
        <f>MIN(AF89,AH89,AJ89)</f>
        <v>51</v>
      </c>
      <c r="AM89" s="1363">
        <f>MAX(AF89,AH89,AJ89)</f>
        <v>51</v>
      </c>
      <c r="AN89" s="1406">
        <f>ROUND(((AF89*AG89)+(AH89*AI89)+(AJ89*AK89))/(AG89+AI89+AK89),2)</f>
        <v>51</v>
      </c>
      <c r="AO89" s="1406">
        <f>ROUND(SQRT((AF89*AF89*AG89/100+AH89*AH89*AI89/100+AJ89*AJ89*AK89/100)/ (SUM( AG89 * IF(AND(IF(AG89&gt;0,1,0), IF(AG89&lt;=100,1,0)),1,0),  AI89 * IF(AND(IF(AI89&gt;0,1,0), IF(AI89&lt;=100,1,0)),1,0),   AK89 * IF(AND(IF(AK89&gt;0,1,0), IF(AK89&lt;=100,1,0)),1,0) )/100) ), 2)</f>
        <v>51</v>
      </c>
      <c r="AP89" s="1405" t="s">
        <v>260</v>
      </c>
    </row>
    <row r="90" spans="21:80" ht="18.899999999999999" thickBot="1">
      <c r="AE90" s="1402">
        <v>4</v>
      </c>
      <c r="AF90" s="1426">
        <v>51</v>
      </c>
      <c r="AG90" s="1385">
        <v>75</v>
      </c>
      <c r="AH90" s="1386">
        <v>51</v>
      </c>
      <c r="AI90" s="1423">
        <v>25</v>
      </c>
      <c r="AJ90" s="1386">
        <v>51</v>
      </c>
      <c r="AK90" s="1373">
        <v>0</v>
      </c>
      <c r="AL90" s="1407">
        <f t="shared" si="0"/>
        <v>51</v>
      </c>
      <c r="AM90" s="1408">
        <f t="shared" si="1"/>
        <v>51</v>
      </c>
      <c r="AN90" s="1409">
        <f t="shared" si="2"/>
        <v>51</v>
      </c>
      <c r="AO90" s="1409">
        <f t="shared" si="3"/>
        <v>51</v>
      </c>
      <c r="AP90" s="1405" t="s">
        <v>260</v>
      </c>
    </row>
    <row r="91" spans="21:80" ht="18.899999999999999" thickTop="1">
      <c r="AE91" s="1402">
        <v>5</v>
      </c>
      <c r="AF91" s="1427">
        <v>88</v>
      </c>
      <c r="AG91" s="1379">
        <v>100</v>
      </c>
      <c r="AH91" s="1380">
        <v>13</v>
      </c>
      <c r="AI91" s="1381">
        <v>100</v>
      </c>
      <c r="AJ91" s="1382">
        <v>51</v>
      </c>
      <c r="AK91" s="1383">
        <v>0</v>
      </c>
      <c r="AL91" s="1396">
        <f t="shared" si="0"/>
        <v>13</v>
      </c>
      <c r="AM91" s="1398">
        <f t="shared" si="1"/>
        <v>88</v>
      </c>
      <c r="AN91" s="1384">
        <f t="shared" si="2"/>
        <v>50.5</v>
      </c>
      <c r="AO91" s="1384">
        <f t="shared" si="3"/>
        <v>62.9</v>
      </c>
      <c r="AP91" s="1405" t="s">
        <v>260</v>
      </c>
    </row>
    <row r="92" spans="21:80" ht="18.45">
      <c r="AE92" s="1402">
        <v>6</v>
      </c>
      <c r="AF92" s="1428">
        <v>88</v>
      </c>
      <c r="AG92" s="1360">
        <v>75</v>
      </c>
      <c r="AH92" s="1362">
        <v>13</v>
      </c>
      <c r="AI92" s="1361">
        <v>25</v>
      </c>
      <c r="AJ92" s="1355">
        <v>51</v>
      </c>
      <c r="AK92" s="1352">
        <v>0</v>
      </c>
      <c r="AL92" s="1366">
        <f>MIN(AF92,AH92,AJ92)</f>
        <v>13</v>
      </c>
      <c r="AM92" s="1359">
        <f>MAX(AF92,AH92,AJ92)</f>
        <v>88</v>
      </c>
      <c r="AN92" s="1368">
        <f>ROUND(((AF92*AG92)+(AH92*AI92)+(AJ92*AK92))/(AG92+AI92+AK92),2)</f>
        <v>69.25</v>
      </c>
      <c r="AO92" s="1368">
        <f>ROUND(SQRT((AF92*AF92*AG92/100+AH92*AH92*AI92/100+AJ92*AJ92*AK92/100)/ (SUM( AG92 * IF(AND(IF(AG92&gt;0,1,0), IF(AG92&lt;=100,1,0)),1,0),  AI92 * IF(AND(IF(AI92&gt;0,1,0), IF(AI92&lt;=100,1,0)),1,0),   AK92 * IF(AND(IF(AK92&gt;0,1,0), IF(AK92&lt;=100,1,0)),1,0) )/100) ), 2)</f>
        <v>76.489999999999995</v>
      </c>
      <c r="AP92" s="1405" t="s">
        <v>260</v>
      </c>
    </row>
    <row r="93" spans="21:80" ht="18.899999999999999" thickBot="1">
      <c r="AE93" s="1402">
        <v>7</v>
      </c>
      <c r="AF93" s="1429">
        <v>88</v>
      </c>
      <c r="AG93" s="1388">
        <v>25</v>
      </c>
      <c r="AH93" s="1389">
        <v>13</v>
      </c>
      <c r="AI93" s="1390">
        <v>75</v>
      </c>
      <c r="AJ93" s="1386">
        <v>51</v>
      </c>
      <c r="AK93" s="1373">
        <v>0</v>
      </c>
      <c r="AL93" s="1369">
        <f>MIN(AF93,AH93,AJ93)</f>
        <v>13</v>
      </c>
      <c r="AM93" s="1399">
        <f>MAX(AF93,AH93,AJ93)</f>
        <v>88</v>
      </c>
      <c r="AN93" s="1345">
        <f>ROUND(((AF93*AG93)+(AH93*AI93)+(AJ93*AK93))/(AG93+AI93+AK93),2)</f>
        <v>31.75</v>
      </c>
      <c r="AO93" s="1345">
        <f>ROUND(SQRT((AF93*AF93*AG93/100+AH93*AH93*AI93/100+AJ93*AJ93*AK93/100)/ (SUM( AG93 * IF(AND(IF(AG93&gt;0,1,0), IF(AG93&lt;=100,1,0)),1,0),  AI93 * IF(AND(IF(AI93&gt;0,1,0), IF(AI93&lt;=100,1,0)),1,0),   AK93 * IF(AND(IF(AK93&gt;0,1,0), IF(AK93&lt;=100,1,0)),1,0) )/100) ), 2)</f>
        <v>45.42</v>
      </c>
      <c r="AP93" s="1405" t="s">
        <v>260</v>
      </c>
    </row>
    <row r="94" spans="21:80" ht="19.3" thickTop="1" thickBot="1">
      <c r="AE94" s="1402">
        <v>8</v>
      </c>
      <c r="AF94" s="1430">
        <v>98</v>
      </c>
      <c r="AG94" s="1391">
        <v>100</v>
      </c>
      <c r="AH94" s="1392">
        <v>3</v>
      </c>
      <c r="AI94" s="1393">
        <v>100</v>
      </c>
      <c r="AJ94" s="1394">
        <v>51</v>
      </c>
      <c r="AK94" s="1395">
        <v>0</v>
      </c>
      <c r="AL94" s="1397">
        <f t="shared" si="0"/>
        <v>3</v>
      </c>
      <c r="AM94" s="1400">
        <f t="shared" si="1"/>
        <v>98</v>
      </c>
      <c r="AN94" s="1344">
        <f t="shared" si="2"/>
        <v>50.5</v>
      </c>
      <c r="AO94" s="1344">
        <f t="shared" si="3"/>
        <v>69.33</v>
      </c>
      <c r="AP94" s="1405" t="s">
        <v>260</v>
      </c>
    </row>
    <row r="95" spans="21:80" ht="18.899999999999999" thickTop="1">
      <c r="AE95" s="1402">
        <v>9</v>
      </c>
      <c r="AF95" s="1431">
        <v>13</v>
      </c>
      <c r="AG95" s="1376">
        <v>100</v>
      </c>
      <c r="AH95" s="1410">
        <v>3</v>
      </c>
      <c r="AI95" s="1377">
        <v>100</v>
      </c>
      <c r="AJ95" s="1417">
        <v>13</v>
      </c>
      <c r="AK95" s="1378">
        <v>0</v>
      </c>
      <c r="AL95" s="1411">
        <f t="shared" si="0"/>
        <v>3</v>
      </c>
      <c r="AM95" s="1412">
        <f t="shared" si="1"/>
        <v>13</v>
      </c>
      <c r="AN95" s="1413">
        <f t="shared" si="2"/>
        <v>8</v>
      </c>
      <c r="AO95" s="1413">
        <f t="shared" si="3"/>
        <v>9.43</v>
      </c>
      <c r="AP95" s="1414" t="s">
        <v>238</v>
      </c>
    </row>
    <row r="96" spans="21:80" ht="18.899999999999999" thickBot="1">
      <c r="AE96" s="1402">
        <v>10</v>
      </c>
      <c r="AF96" s="1432">
        <v>13</v>
      </c>
      <c r="AG96" s="1370">
        <v>100</v>
      </c>
      <c r="AH96" s="1371">
        <v>3</v>
      </c>
      <c r="AI96" s="1373">
        <v>0</v>
      </c>
      <c r="AJ96" s="1371">
        <v>3</v>
      </c>
      <c r="AK96" s="1373">
        <v>0</v>
      </c>
      <c r="AL96" s="1415">
        <f>MIN(AF96,AH96,AJ96)</f>
        <v>3</v>
      </c>
      <c r="AM96" s="1416">
        <f>MAX(AF96,AH96,AJ96)</f>
        <v>13</v>
      </c>
      <c r="AN96" s="1374">
        <f>ROUND(((AF96*AG96)+(AH96*AI96)+(AJ96*AK96))/(AG96+AI96+AK96),2)</f>
        <v>13</v>
      </c>
      <c r="AO96" s="1374">
        <f>ROUND(SQRT((AF96*AF96*AG96/100+AH96*AH96*AI96/100+AJ96*AJ96*AK96/100)/ (SUM( AG96 * IF(AND(IF(AG96&gt;0,1,0), IF(AG96&lt;=100,1,0)),1,0),  AI96 * IF(AND(IF(AI96&gt;0,1,0), IF(AI96&lt;=100,1,0)),1,0),   AK96 * IF(AND(IF(AK96&gt;0,1,0), IF(AK96&lt;=100,1,0)),1,0) )/100) ), 2)</f>
        <v>13</v>
      </c>
      <c r="AP96" s="1422" t="s">
        <v>1631</v>
      </c>
      <c r="CB96">
        <v>2</v>
      </c>
    </row>
    <row r="97" spans="31:82" ht="19.3" thickTop="1" thickBot="1">
      <c r="AE97" s="1402">
        <v>11</v>
      </c>
      <c r="AF97" s="1429">
        <v>88</v>
      </c>
      <c r="AG97" s="1376">
        <v>100</v>
      </c>
      <c r="AH97" s="1387">
        <v>88</v>
      </c>
      <c r="AI97" s="1377">
        <v>100</v>
      </c>
      <c r="AJ97" s="1387">
        <v>88</v>
      </c>
      <c r="AK97" s="1378">
        <v>0</v>
      </c>
      <c r="AL97" s="1435">
        <f>MIN(AF97,AH97,AJ97)</f>
        <v>88</v>
      </c>
      <c r="AM97" s="1437">
        <f>MAX(AF97,AH97,AJ97)</f>
        <v>88</v>
      </c>
      <c r="AN97" s="183">
        <f>ROUND(((AF97*AG97)+(AH97*AI97)+(AJ97*AK97))/(AG97+AI97+AK97),2)</f>
        <v>88</v>
      </c>
      <c r="AO97" s="183">
        <f>ROUND(SQRT((AF97*AF97*AG97/100+AH97*AH97*AI97/100+AJ97*AJ97*AK97/100)/ (SUM( AG97 * IF(AND(IF(AG97&gt;0,1,0), IF(AG97&lt;=100,1,0)),1,0),  AI97 * IF(AND(IF(AI97&gt;0,1,0), IF(AI97&lt;=100,1,0)),1,0),   AK97 * IF(AND(IF(AK97&gt;0,1,0), IF(AK97&lt;=100,1,0)),1,0) )/100) ), 2)</f>
        <v>88</v>
      </c>
      <c r="AP97" s="1418" t="s">
        <v>261</v>
      </c>
    </row>
    <row r="98" spans="31:82" ht="19.3" thickTop="1" thickBot="1">
      <c r="AE98" s="1401">
        <v>12</v>
      </c>
      <c r="AF98" s="1433">
        <v>98</v>
      </c>
      <c r="AG98" s="1370">
        <v>100</v>
      </c>
      <c r="AH98" s="1387">
        <v>88</v>
      </c>
      <c r="AI98" s="1372">
        <v>100</v>
      </c>
      <c r="AJ98" s="1387">
        <v>88</v>
      </c>
      <c r="AK98" s="1373">
        <v>0</v>
      </c>
      <c r="AL98" s="1436">
        <f>MIN(AF98,AH98,AJ98)</f>
        <v>88</v>
      </c>
      <c r="AM98" s="1438">
        <f>MAX(AF98,AH98,AJ98)</f>
        <v>98</v>
      </c>
      <c r="AN98" s="1345">
        <f>ROUND(((AF98*AG98)+(AH98*AI98)+(AJ98*AK98))/(AG98+AI98+AK98),2)</f>
        <v>93</v>
      </c>
      <c r="AO98" s="1345">
        <f>ROUND(SQRT((AF98*AF98*AG98/100+AH98*AH98*AI98/100+AJ98*AJ98*AK98/100)/ (SUM( AG98 * IF(AND(IF(AG98&gt;0,1,0), IF(AG98&lt;=100,1,0)),1,0),  AI98 * IF(AND(IF(AI98&gt;0,1,0), IF(AI98&lt;=100,1,0)),1,0),   AK98 * IF(AND(IF(AK98&gt;0,1,0), IF(AK98&lt;=100,1,0)),1,0) )/100) ), 2)</f>
        <v>93.13</v>
      </c>
      <c r="AP98" s="1419" t="s">
        <v>1632</v>
      </c>
    </row>
    <row r="99" spans="31:82" ht="15" thickTop="1"/>
    <row r="100" spans="31:82" ht="16.3" thickBot="1">
      <c r="AF100" s="1439" t="s">
        <v>1638</v>
      </c>
      <c r="AG100" s="1439" t="s">
        <v>1639</v>
      </c>
      <c r="AH100" s="1439" t="s">
        <v>1640</v>
      </c>
      <c r="AI100" s="1439" t="s">
        <v>1641</v>
      </c>
      <c r="AJ100" s="1439" t="s">
        <v>1642</v>
      </c>
      <c r="AK100" s="1439" t="s">
        <v>1643</v>
      </c>
    </row>
    <row r="101" spans="31:82" ht="19.3" thickTop="1" thickBot="1">
      <c r="AE101" s="1434">
        <v>0</v>
      </c>
      <c r="AF101" s="1424">
        <v>51</v>
      </c>
      <c r="AG101" s="1365">
        <v>75</v>
      </c>
      <c r="AH101" s="1358">
        <v>98</v>
      </c>
      <c r="AI101" s="1365">
        <v>50</v>
      </c>
      <c r="AJ101" s="1358">
        <v>31</v>
      </c>
      <c r="AK101" s="1365">
        <v>100</v>
      </c>
      <c r="AL101" s="1354">
        <f>MIN(AF101,AH101,AJ101)</f>
        <v>31</v>
      </c>
      <c r="AM101" s="1403">
        <f>MAX(AF101,AH101,AJ101)</f>
        <v>98</v>
      </c>
      <c r="AN101" s="1404"/>
      <c r="AO101" s="1404">
        <f>ROUND(SQRT(($AF$101*$AF$101*$AG$101/100+$AH$101*$AH$101*$AI$101/100+$AJ$101*$AJ$101*$AK$101/100)/ (SUM( $AG$101 * IF(AND(IF($AG$101&gt;0,1,0), IF($AG$101&lt;=100,1,0)),1,0),  $AI$101 * IF(AND(IF($AI$101&gt;0,1,0), IF($AI$101&lt;=100,1,0)),1,0),   $AK$101 * IF(AND(IF($AK$101&gt;0,1,0), IF($AK$101&lt;=100,1,0)),1,0) )/100) ), 2)</f>
        <v>58.55</v>
      </c>
      <c r="AP101" s="1351" t="s">
        <v>1636</v>
      </c>
      <c r="AQ101" s="26"/>
      <c r="AR101" s="26"/>
      <c r="AS101" s="26"/>
      <c r="AT101" s="26"/>
      <c r="AU101" s="26"/>
      <c r="AV101" s="26"/>
      <c r="AW101" s="26"/>
      <c r="AX101" s="26"/>
      <c r="AY101" s="26"/>
      <c r="AZ101" s="26"/>
      <c r="BA101" s="26"/>
      <c r="BB101" s="26"/>
      <c r="BC101" s="26"/>
      <c r="BD101" s="26"/>
      <c r="BE101" s="26"/>
      <c r="BF101" s="26"/>
      <c r="BG101" s="26"/>
      <c r="BH101" s="26"/>
      <c r="BI101" s="26"/>
      <c r="BJ101" s="26"/>
      <c r="BK101" s="26"/>
      <c r="BL101" s="26"/>
      <c r="BM101" s="26"/>
      <c r="BN101" s="26"/>
      <c r="BO101" s="26"/>
      <c r="BP101" s="26"/>
      <c r="BQ101" s="26"/>
      <c r="BR101" s="26"/>
      <c r="BS101" s="26"/>
      <c r="BT101" s="26"/>
      <c r="BU101" s="26"/>
      <c r="BV101" s="26"/>
      <c r="BW101" s="26"/>
      <c r="BX101" s="26"/>
      <c r="BY101" s="26"/>
      <c r="BZ101" s="26"/>
      <c r="CA101" s="26"/>
      <c r="CB101" s="26"/>
      <c r="CC101" s="26"/>
      <c r="CD101" s="26"/>
    </row>
    <row r="102" spans="31:82" ht="18.899999999999999" thickTop="1">
      <c r="AE102" s="1434">
        <v>0</v>
      </c>
      <c r="AF102" s="1424">
        <v>51</v>
      </c>
      <c r="AG102" s="1365">
        <v>75</v>
      </c>
      <c r="AH102" s="1358">
        <v>98</v>
      </c>
      <c r="AI102" s="1365">
        <v>50</v>
      </c>
      <c r="AJ102" s="1358">
        <v>31</v>
      </c>
      <c r="AK102" s="1365">
        <v>100</v>
      </c>
      <c r="AL102" s="1354">
        <f>MIN(AF102,AH102,AJ102)</f>
        <v>31</v>
      </c>
      <c r="AM102" s="1403">
        <f>MAX(AF102,AH102,AJ102)</f>
        <v>98</v>
      </c>
      <c r="AN102" s="1404">
        <f>ROUND((($AF$102*$AG$102)+($AH$102*$AI$102)+($AJ$102*$AK$102))/($AG$102+$AI$102+$AK$102),2)</f>
        <v>52.56</v>
      </c>
      <c r="AO102" s="1404"/>
      <c r="AP102" s="1367" t="s">
        <v>1637</v>
      </c>
      <c r="AQ102" s="1112"/>
      <c r="AR102" s="1112"/>
      <c r="AS102" s="1112"/>
      <c r="AT102" s="1112"/>
      <c r="AU102" s="1112"/>
      <c r="AV102" s="1112"/>
      <c r="AW102" s="1112"/>
      <c r="AX102" s="1112"/>
      <c r="AY102" s="1112"/>
      <c r="AZ102" s="1112"/>
      <c r="BA102" s="1112"/>
    </row>
    <row r="103" spans="31:82" ht="15" thickBot="1"/>
    <row r="104" spans="31:82" ht="19.3" thickTop="1" thickBot="1">
      <c r="AE104" s="1433">
        <v>98</v>
      </c>
      <c r="AF104" s="1370">
        <v>100</v>
      </c>
      <c r="AG104" s="1387">
        <v>88</v>
      </c>
      <c r="AH104" s="1372">
        <v>100</v>
      </c>
      <c r="AI104" s="1387">
        <v>88</v>
      </c>
      <c r="AJ104" s="1373">
        <v>0</v>
      </c>
      <c r="AK104" s="1436">
        <v>0</v>
      </c>
      <c r="AL104" s="1438"/>
      <c r="AM104" s="1345"/>
      <c r="AN104" s="1345">
        <f>ROUND(SQRT((AE104*AE104*AF104/100+AG104*AG104*AH104/100+AI104*AI104*AJ104/100)/ (SUM( AF104 * IF(AND(IF(AF104&gt;0,1,0), IF(AF104&lt;=100,1,0)),1,0),  AH104 * IF(AND(IF(AH104&gt;0,1,0), IF(AH104&lt;=100,1,0)),1,0),   AJ104 * IF(AND(IF(AJ104&gt;0,1,0), IF(AJ104&lt;=100,1,0)),1,0) )/100) ), 2)</f>
        <v>93.13</v>
      </c>
      <c r="AO104" s="1404">
        <f>ROUND(SQRT(($AF$101*$AF$101*$AG$101/100+$AH$101*$AH$101*$AI$101/100+$AJ$101*$AJ$101*$AK$101/100)/ (SUM( $AG$101 * IF(AND(IF($AG$101&gt;0,1,0), IF($AG$101&lt;=100,1,0)),1,0),  $AI$101 * IF(AND(IF($AI$101&gt;0,1,0), IF($AI$101&lt;=100,1,0)),1,0),   $AK$101 * IF(AND(IF($AK$101&gt;0,1,0), IF($AK$101&lt;=100,1,0)),1,0) )/100) ), 2)</f>
        <v>58.55</v>
      </c>
    </row>
    <row r="105" spans="31:82" ht="15" thickTop="1"/>
    <row r="106" spans="31:82">
      <c r="AI106">
        <f>SQRT(25*88*88/100+75*13*13/100)/(100/100)</f>
        <v>45.417507637473896</v>
      </c>
    </row>
    <row r="108" spans="31:82">
      <c r="AI108">
        <f>SQRT( (25*88*88+75*13*13)/(100))</f>
        <v>45.417507637473896</v>
      </c>
    </row>
    <row r="110" spans="31:82">
      <c r="AI110">
        <f>SQRT( (75*51*51+50*98*98+100*31*31)/(75+50+100) )</f>
        <v>58.551971216461482</v>
      </c>
    </row>
    <row r="135" spans="43:44" ht="109.3">
      <c r="AQ135" s="1440"/>
      <c r="AR135" s="1440"/>
    </row>
    <row r="144" spans="43:44" ht="15" thickBot="1"/>
    <row r="145" spans="19:33" ht="15.45" thickTop="1" thickBot="1">
      <c r="AF145" s="914"/>
      <c r="AG145" s="915"/>
    </row>
    <row r="146" spans="19:33" ht="15.45" thickTop="1" thickBot="1">
      <c r="S146" s="913"/>
      <c r="T146" s="914"/>
      <c r="U146" s="914"/>
      <c r="V146" s="914"/>
      <c r="W146" s="914"/>
      <c r="X146" s="914"/>
      <c r="Y146" s="914"/>
      <c r="Z146" s="914"/>
      <c r="AA146" s="914"/>
      <c r="AB146" s="914"/>
      <c r="AC146" s="914"/>
      <c r="AD146" s="914"/>
      <c r="AE146" s="914"/>
      <c r="AF146" s="501"/>
      <c r="AG146" s="917"/>
    </row>
    <row r="147" spans="19:33" ht="15.45" thickTop="1" thickBot="1">
      <c r="S147" s="916"/>
      <c r="T147" s="501"/>
      <c r="U147" s="501"/>
      <c r="V147" s="501"/>
      <c r="W147" s="501"/>
      <c r="X147" s="501"/>
      <c r="Y147" s="926"/>
      <c r="Z147" s="927"/>
      <c r="AA147" s="928"/>
      <c r="AB147" s="501"/>
      <c r="AC147" s="501"/>
      <c r="AD147" s="501"/>
      <c r="AE147" s="501"/>
      <c r="AF147" s="501"/>
      <c r="AG147" s="917"/>
    </row>
    <row r="148" spans="19:33" ht="15.45" thickTop="1" thickBot="1">
      <c r="S148" s="916"/>
      <c r="T148" s="501"/>
      <c r="U148" s="923"/>
      <c r="V148" s="924"/>
      <c r="W148" s="924"/>
      <c r="X148" s="924"/>
      <c r="Y148" s="922"/>
      <c r="Z148" s="932"/>
      <c r="AA148" s="922"/>
      <c r="AB148" s="924"/>
      <c r="AC148" s="924"/>
      <c r="AD148" s="924"/>
      <c r="AE148" s="925"/>
      <c r="AF148" s="501"/>
      <c r="AG148" s="917"/>
    </row>
    <row r="149" spans="19:33" ht="15.45" thickTop="1" thickBot="1">
      <c r="S149" s="916"/>
      <c r="T149" s="501"/>
      <c r="U149" s="501"/>
      <c r="V149" s="501"/>
      <c r="W149" s="501"/>
      <c r="X149" s="501"/>
      <c r="Y149" s="929"/>
      <c r="Z149" s="930"/>
      <c r="AA149" s="931"/>
      <c r="AB149" s="501"/>
      <c r="AC149" s="501"/>
      <c r="AD149" s="501"/>
      <c r="AE149" s="501"/>
      <c r="AF149" s="919"/>
      <c r="AG149" s="920"/>
    </row>
    <row r="150" spans="19:33" ht="15.45" thickTop="1" thickBot="1">
      <c r="S150" s="918"/>
      <c r="T150" s="919"/>
      <c r="U150" s="919"/>
      <c r="V150" s="919"/>
      <c r="W150" s="919"/>
      <c r="X150" s="919"/>
      <c r="Y150" s="919"/>
      <c r="Z150" s="919"/>
      <c r="AA150" s="919"/>
      <c r="AB150" s="919"/>
      <c r="AC150" s="919"/>
      <c r="AD150" s="919"/>
      <c r="AE150" s="919"/>
    </row>
    <row r="151" spans="19:33" ht="15" thickTop="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40" ht="15" thickBot="1"/>
    <row r="241" spans="3:33" ht="15.45" thickTop="1" thickBot="1">
      <c r="AF241" s="914"/>
      <c r="AG241" s="915"/>
    </row>
    <row r="242" spans="3:33" ht="15.45" thickTop="1" thickBot="1">
      <c r="C242" s="913"/>
      <c r="D242" s="914"/>
      <c r="E242" s="914"/>
      <c r="F242" s="914"/>
      <c r="G242" s="914"/>
      <c r="H242" s="914"/>
      <c r="I242" s="914"/>
      <c r="J242" s="914"/>
      <c r="K242" s="914"/>
      <c r="L242" s="914"/>
      <c r="M242" s="914"/>
      <c r="N242" s="914"/>
      <c r="O242" s="914"/>
      <c r="P242" s="914"/>
      <c r="Q242" s="914"/>
      <c r="R242" s="914"/>
      <c r="S242" s="914"/>
      <c r="T242" s="914"/>
      <c r="U242" s="914"/>
      <c r="V242" s="914"/>
      <c r="W242" s="914"/>
      <c r="X242" s="914"/>
      <c r="Y242" s="914"/>
      <c r="Z242" s="914"/>
      <c r="AA242" s="914"/>
      <c r="AB242" s="914"/>
      <c r="AC242" s="914"/>
      <c r="AD242" s="914"/>
      <c r="AE242" s="914"/>
      <c r="AF242" s="501"/>
      <c r="AG242" s="917"/>
    </row>
    <row r="243" spans="3:33" ht="15.45" thickTop="1" thickBot="1">
      <c r="C243" s="916"/>
      <c r="D243" s="501"/>
      <c r="E243" s="501"/>
      <c r="F243" s="501"/>
      <c r="G243" s="501"/>
      <c r="H243" s="501"/>
      <c r="I243" s="501"/>
      <c r="J243" s="501"/>
      <c r="K243" s="501"/>
      <c r="L243" s="501"/>
      <c r="M243" s="501"/>
      <c r="N243" s="501"/>
      <c r="O243" s="501"/>
      <c r="P243" s="501"/>
      <c r="Q243" s="926"/>
      <c r="R243" s="927"/>
      <c r="S243" s="928"/>
      <c r="T243" s="501"/>
      <c r="U243" s="501"/>
      <c r="V243" s="501"/>
      <c r="W243" s="501"/>
      <c r="X243" s="501"/>
      <c r="Y243" s="501"/>
      <c r="Z243" s="501"/>
      <c r="AA243" s="501"/>
      <c r="AB243" s="501"/>
      <c r="AC243" s="501"/>
      <c r="AD243" s="501"/>
      <c r="AE243" s="501"/>
      <c r="AF243" s="925"/>
      <c r="AG243" s="917"/>
    </row>
    <row r="244" spans="3:33" ht="15.45" thickTop="1" thickBot="1">
      <c r="C244" s="916"/>
      <c r="D244" s="923"/>
      <c r="E244" s="924"/>
      <c r="F244" s="924"/>
      <c r="G244" s="924"/>
      <c r="H244" s="924"/>
      <c r="I244" s="924"/>
      <c r="J244" s="924"/>
      <c r="K244" s="924"/>
      <c r="L244" s="924"/>
      <c r="M244" s="924"/>
      <c r="N244" s="924"/>
      <c r="O244" s="924"/>
      <c r="P244" s="924"/>
      <c r="Q244" s="922"/>
      <c r="R244" s="932"/>
      <c r="S244" s="922"/>
      <c r="T244" s="924"/>
      <c r="U244" s="924"/>
      <c r="V244" s="924"/>
      <c r="W244" s="924"/>
      <c r="X244" s="924"/>
      <c r="Y244" s="924"/>
      <c r="Z244" s="924"/>
      <c r="AA244" s="924"/>
      <c r="AB244" s="924"/>
      <c r="AC244" s="924"/>
      <c r="AD244" s="924"/>
      <c r="AE244" s="924"/>
      <c r="AF244" s="501"/>
      <c r="AG244" s="917"/>
    </row>
    <row r="245" spans="3:33" ht="15.45" thickTop="1" thickBot="1">
      <c r="C245" s="916"/>
      <c r="D245" s="501"/>
      <c r="E245" s="501"/>
      <c r="F245" s="501"/>
      <c r="G245" s="501"/>
      <c r="H245" s="501"/>
      <c r="I245" s="501"/>
      <c r="J245" s="501"/>
      <c r="K245" s="501"/>
      <c r="L245" s="501"/>
      <c r="M245" s="501"/>
      <c r="N245" s="501"/>
      <c r="O245" s="501"/>
      <c r="P245" s="501"/>
      <c r="Q245" s="929"/>
      <c r="R245" s="930"/>
      <c r="S245" s="931"/>
      <c r="T245" s="501"/>
      <c r="U245" s="501"/>
      <c r="V245" s="501"/>
      <c r="W245" s="501"/>
      <c r="X245" s="501"/>
      <c r="Y245" s="501"/>
      <c r="Z245" s="501"/>
      <c r="AA245" s="501"/>
      <c r="AB245" s="501"/>
      <c r="AC245" s="501"/>
      <c r="AD245" s="501"/>
      <c r="AE245" s="501"/>
      <c r="AF245" s="919"/>
      <c r="AG245" s="920"/>
    </row>
    <row r="246" spans="3:33" ht="15.45" thickTop="1" thickBot="1">
      <c r="C246" s="918"/>
      <c r="D246" s="919"/>
      <c r="E246" s="919"/>
      <c r="F246" s="919"/>
      <c r="G246" s="919"/>
      <c r="H246" s="919"/>
      <c r="I246" s="919"/>
      <c r="J246" s="919"/>
      <c r="K246" s="919"/>
      <c r="L246" s="919"/>
      <c r="M246" s="919"/>
      <c r="N246" s="919"/>
      <c r="O246" s="919"/>
      <c r="P246" s="919"/>
      <c r="Q246" s="919"/>
      <c r="R246" s="919"/>
      <c r="S246" s="919"/>
      <c r="T246" s="919"/>
      <c r="U246" s="919"/>
      <c r="V246" s="919"/>
      <c r="W246" s="919"/>
      <c r="X246" s="919"/>
      <c r="Y246" s="919"/>
      <c r="Z246" s="919"/>
      <c r="AA246" s="919"/>
      <c r="AB246" s="919"/>
      <c r="AC246" s="919"/>
      <c r="AD246" s="919"/>
      <c r="AE246" s="919"/>
    </row>
    <row r="247" spans="3:33" ht="15" thickTop="1"/>
  </sheetData>
  <mergeCells count="13">
    <mergeCell ref="AP83:AP85"/>
    <mergeCell ref="AF83:AG83"/>
    <mergeCell ref="AH83:AI83"/>
    <mergeCell ref="AJ83:AK83"/>
    <mergeCell ref="AE82:AP82"/>
    <mergeCell ref="AE84:AE85"/>
    <mergeCell ref="AO83:AO84"/>
    <mergeCell ref="AF84:AF85"/>
    <mergeCell ref="AH84:AH85"/>
    <mergeCell ref="AJ84:AJ85"/>
    <mergeCell ref="AL83:AL85"/>
    <mergeCell ref="AM83:AM85"/>
    <mergeCell ref="AN83:AN85"/>
  </mergeCells>
  <hyperlinks>
    <hyperlink ref="AF72" r:id="rId1" xr:uid="{00000000-0004-0000-0100-000000000000}"/>
    <hyperlink ref="AH74" r:id="rId2" xr:uid="{00000000-0004-0000-0100-000001000000}"/>
  </hyperlinks>
  <pageMargins left="0.7" right="0.7" top="0.75" bottom="0.75" header="0.3" footer="0.3"/>
  <pageSetup orientation="portrait" verticalDpi="0" r:id="rId3"/>
  <drawing r:id="rId4"/>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rgb="FF92D050"/>
  </sheetPr>
  <dimension ref="B1:H8"/>
  <sheetViews>
    <sheetView workbookViewId="0"/>
  </sheetViews>
  <sheetFormatPr defaultRowHeight="14.6"/>
  <cols>
    <col min="3" max="3" width="16" customWidth="1"/>
    <col min="4" max="4" width="10.69140625" customWidth="1"/>
    <col min="5" max="5" width="43.15234375" customWidth="1"/>
    <col min="6" max="6" width="134.69140625" customWidth="1"/>
    <col min="7" max="7" width="24.69140625" customWidth="1"/>
    <col min="8" max="8" width="26.69140625" customWidth="1"/>
  </cols>
  <sheetData>
    <row r="1" spans="2:8">
      <c r="E1" s="23"/>
      <c r="F1" s="23"/>
      <c r="G1" s="23"/>
      <c r="H1" s="23"/>
    </row>
    <row r="2" spans="2:8">
      <c r="E2" s="2460"/>
      <c r="F2" s="2460"/>
      <c r="G2" s="820"/>
      <c r="H2" s="820"/>
    </row>
    <row r="3" spans="2:8" ht="18.899999999999999" thickBot="1">
      <c r="C3" s="128" t="s">
        <v>1153</v>
      </c>
      <c r="E3" s="820"/>
      <c r="F3" s="820"/>
      <c r="G3" s="821"/>
      <c r="H3" s="821"/>
    </row>
    <row r="4" spans="2:8" ht="19.3" thickTop="1" thickBot="1">
      <c r="E4" s="2132" t="s">
        <v>1193</v>
      </c>
      <c r="F4" s="2169"/>
      <c r="G4" s="2169"/>
      <c r="H4" s="2133"/>
    </row>
    <row r="5" spans="2:8" ht="19.3" thickTop="1" thickBot="1">
      <c r="C5" s="800" t="s">
        <v>170</v>
      </c>
      <c r="D5" s="800" t="s">
        <v>226</v>
      </c>
      <c r="E5" s="2124" t="s">
        <v>1194</v>
      </c>
      <c r="F5" s="2461"/>
      <c r="G5" s="2032" t="s">
        <v>1195</v>
      </c>
      <c r="H5" s="2034"/>
    </row>
    <row r="6" spans="2:8" ht="15.45" thickTop="1" thickBot="1">
      <c r="B6" s="411" t="s">
        <v>1297</v>
      </c>
      <c r="C6" s="801" t="s">
        <v>1138</v>
      </c>
      <c r="D6" s="801" t="s">
        <v>1139</v>
      </c>
      <c r="E6" s="263" t="s">
        <v>925</v>
      </c>
      <c r="F6" s="826" t="s">
        <v>924</v>
      </c>
      <c r="G6" s="827" t="s">
        <v>933</v>
      </c>
      <c r="H6" s="794" t="s">
        <v>895</v>
      </c>
    </row>
    <row r="7" spans="2:8" ht="15.45" thickTop="1" thickBot="1">
      <c r="B7" s="806" t="s">
        <v>1121</v>
      </c>
      <c r="C7" s="828" t="str">
        <f>IF(Adversarial, "",Work!$J$8)</f>
        <v/>
      </c>
      <c r="D7" s="829" t="str">
        <f>IF(Adversarial, "", Work!$B$8)</f>
        <v/>
      </c>
      <c r="E7" s="830" t="str">
        <f>Work!AN8</f>
        <v>TECHNICAL</v>
      </c>
      <c r="F7" s="831" t="str">
        <f>Work!AO8</f>
        <v>Allocation of specific security functionality to common controls (Architectural )</v>
      </c>
      <c r="G7" s="831" t="str">
        <f>Work!AP8</f>
        <v>21-79+  (Moderate)</v>
      </c>
      <c r="H7" s="832">
        <f>Work!AQ8</f>
        <v>51</v>
      </c>
    </row>
    <row r="8" spans="2:8" ht="15" thickTop="1">
      <c r="B8" s="912" t="s">
        <v>1300</v>
      </c>
      <c r="C8" s="912"/>
      <c r="D8" s="912"/>
      <c r="E8" s="912"/>
      <c r="F8" s="759"/>
    </row>
  </sheetData>
  <mergeCells count="4">
    <mergeCell ref="E2:F2"/>
    <mergeCell ref="G5:H5"/>
    <mergeCell ref="E5:F5"/>
    <mergeCell ref="E4:H4"/>
  </mergeCells>
  <conditionalFormatting sqref="G5">
    <cfRule type="expression" dxfId="86" priority="10">
      <formula>SmeRatingD3</formula>
    </cfRule>
  </conditionalFormatting>
  <conditionalFormatting sqref="H6">
    <cfRule type="expression" dxfId="85" priority="8">
      <formula>SmeRatingDTF5</formula>
    </cfRule>
    <cfRule type="expression" dxfId="84" priority="16">
      <formula>SmeRatingD3</formula>
    </cfRule>
  </conditionalFormatting>
  <conditionalFormatting sqref="F6">
    <cfRule type="expression" dxfId="83" priority="6">
      <formula>CheckF4Val_DTABLES</formula>
    </cfRule>
  </conditionalFormatting>
  <conditionalFormatting sqref="G5:H5">
    <cfRule type="expression" dxfId="82" priority="5">
      <formula>SmeRatingDTF5</formula>
    </cfRule>
  </conditionalFormatting>
  <pageMargins left="0.7" right="0.7" top="0.75" bottom="0.75" header="0.3" footer="0.3"/>
  <pageSetup orientation="portrait" verticalDpi="0"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rgb="FF92D050"/>
  </sheetPr>
  <dimension ref="B3:L20"/>
  <sheetViews>
    <sheetView workbookViewId="0"/>
  </sheetViews>
  <sheetFormatPr defaultRowHeight="14.6"/>
  <cols>
    <col min="3" max="3" width="16" customWidth="1"/>
    <col min="4" max="4" width="13" customWidth="1"/>
    <col min="5" max="5" width="44" customWidth="1"/>
    <col min="6" max="6" width="27.69140625" customWidth="1"/>
    <col min="7" max="7" width="44.69140625" customWidth="1"/>
    <col min="8" max="8" width="26.69140625" customWidth="1"/>
    <col min="9" max="9" width="36.15234375" customWidth="1"/>
    <col min="10" max="10" width="26.69140625" customWidth="1"/>
    <col min="11" max="11" width="40.69140625" customWidth="1"/>
    <col min="12" max="12" width="20.69140625" customWidth="1"/>
  </cols>
  <sheetData>
    <row r="3" spans="2:12" ht="15" thickBot="1"/>
    <row r="4" spans="2:12" ht="19.3" thickTop="1" thickBot="1">
      <c r="E4" s="2134" t="s">
        <v>1157</v>
      </c>
      <c r="F4" s="2135"/>
      <c r="G4" s="2135"/>
      <c r="H4" s="2135"/>
      <c r="I4" s="2135"/>
      <c r="J4" s="2135"/>
      <c r="K4" s="2135"/>
      <c r="L4" s="2136"/>
    </row>
    <row r="5" spans="2:12" ht="19.3" thickTop="1" thickBot="1">
      <c r="C5" s="815" t="s">
        <v>170</v>
      </c>
      <c r="D5" s="816" t="s">
        <v>226</v>
      </c>
      <c r="E5" s="2462" t="s">
        <v>1154</v>
      </c>
      <c r="F5" s="2463"/>
      <c r="G5" s="2464" t="s">
        <v>1155</v>
      </c>
      <c r="H5" s="2463"/>
      <c r="I5" s="2464" t="s">
        <v>1156</v>
      </c>
      <c r="J5" s="2463"/>
      <c r="K5" s="2464" t="s">
        <v>1160</v>
      </c>
      <c r="L5" s="2463"/>
    </row>
    <row r="6" spans="2:12" ht="15.45" thickTop="1" thickBot="1">
      <c r="B6" s="411" t="s">
        <v>1297</v>
      </c>
      <c r="C6" s="801" t="s">
        <v>1138</v>
      </c>
      <c r="D6" s="801" t="s">
        <v>1139</v>
      </c>
      <c r="E6" s="802" t="s">
        <v>1164</v>
      </c>
      <c r="F6" s="803" t="s">
        <v>1165</v>
      </c>
      <c r="G6" s="802" t="s">
        <v>1166</v>
      </c>
      <c r="H6" s="803" t="s">
        <v>1167</v>
      </c>
      <c r="I6" s="802" t="s">
        <v>1158</v>
      </c>
      <c r="J6" s="803" t="s">
        <v>1159</v>
      </c>
      <c r="K6" s="802" t="s">
        <v>1161</v>
      </c>
      <c r="L6" s="803" t="s">
        <v>1162</v>
      </c>
    </row>
    <row r="7" spans="2:12" ht="15.45" thickTop="1" thickBot="1">
      <c r="B7" s="806" t="s">
        <v>1121</v>
      </c>
      <c r="C7" s="808" t="str">
        <f>IF(Adversarial, "",Work!$J$8)</f>
        <v/>
      </c>
      <c r="D7" s="809" t="str">
        <f>IF(Adversarial, "", Work!$B$8)</f>
        <v/>
      </c>
      <c r="E7" s="809" t="str">
        <f>IF(Adversarial, Work!$AW$8,"n/a")</f>
        <v>5-20+   (Low)</v>
      </c>
      <c r="F7" s="809">
        <f>IF(Adversarial, Work!AX8,"n/a")</f>
        <v>13</v>
      </c>
      <c r="G7" s="809" t="str">
        <f>IF(Adversarial, "", Work!$AY$8)</f>
        <v/>
      </c>
      <c r="H7" s="810" t="str">
        <f>IF(Adversarial, "", Work!$AZ$8)</f>
        <v/>
      </c>
      <c r="I7" s="809" t="str">
        <f>IF(Adversarial, Work!$R$8,"n/a")</f>
        <v>5-20+   (Low)</v>
      </c>
      <c r="J7" s="811">
        <f>IF(Adversarial, Work!$S$8,"n/a")</f>
        <v>13</v>
      </c>
      <c r="K7" s="809" t="str">
        <f>Work!$U$8</f>
        <v>5-20+   (Low)</v>
      </c>
      <c r="L7" s="812">
        <f>Work!$V$8</f>
        <v>13</v>
      </c>
    </row>
    <row r="8" spans="2:12" ht="15" thickTop="1">
      <c r="B8" s="912" t="s">
        <v>1300</v>
      </c>
      <c r="C8" s="912"/>
      <c r="D8" s="912"/>
      <c r="E8" s="912"/>
    </row>
    <row r="20" spans="8:8">
      <c r="H20" t="s">
        <v>1163</v>
      </c>
    </row>
  </sheetData>
  <mergeCells count="5">
    <mergeCell ref="E4:L4"/>
    <mergeCell ref="E5:F5"/>
    <mergeCell ref="G5:H5"/>
    <mergeCell ref="I5:J5"/>
    <mergeCell ref="K5:L5"/>
  </mergeCells>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tabColor rgb="FF92D050"/>
  </sheetPr>
  <dimension ref="A1"/>
  <sheetViews>
    <sheetView workbookViewId="0"/>
  </sheetViews>
  <sheetFormatPr defaultRowHeight="14.6"/>
  <sheetData/>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tabColor rgb="FF92D050"/>
  </sheetPr>
  <dimension ref="B2:H8"/>
  <sheetViews>
    <sheetView workbookViewId="0"/>
  </sheetViews>
  <sheetFormatPr defaultRowHeight="14.6"/>
  <cols>
    <col min="3" max="3" width="16" customWidth="1"/>
    <col min="4" max="4" width="10.69140625" customWidth="1"/>
    <col min="5" max="5" width="40.69140625" customWidth="1"/>
    <col min="6" max="6" width="132.69140625" customWidth="1"/>
    <col min="7" max="7" width="36.69140625" customWidth="1"/>
    <col min="8" max="8" width="26.69140625" customWidth="1"/>
    <col min="9" max="9" width="29.69140625" customWidth="1"/>
    <col min="10" max="10" width="24.69140625" customWidth="1"/>
    <col min="11" max="11" width="32.69140625" customWidth="1"/>
    <col min="12" max="12" width="24.69140625" customWidth="1"/>
  </cols>
  <sheetData>
    <row r="2" spans="2:8" ht="18.45">
      <c r="C2" s="128" t="s">
        <v>1185</v>
      </c>
    </row>
    <row r="3" spans="2:8" ht="15" thickBot="1"/>
    <row r="4" spans="2:8" ht="19.3" thickTop="1" thickBot="1">
      <c r="E4" s="2091" t="s">
        <v>1192</v>
      </c>
      <c r="F4" s="2093"/>
      <c r="G4" s="2091" t="s">
        <v>1226</v>
      </c>
      <c r="H4" s="2093"/>
    </row>
    <row r="5" spans="2:8" ht="15.45" thickTop="1" thickBot="1">
      <c r="C5" s="800" t="s">
        <v>170</v>
      </c>
      <c r="D5" s="800" t="s">
        <v>226</v>
      </c>
      <c r="E5" s="2465" t="s">
        <v>1186</v>
      </c>
      <c r="F5" s="2466"/>
      <c r="G5" s="2465" t="s">
        <v>1191</v>
      </c>
      <c r="H5" s="2466"/>
    </row>
    <row r="6" spans="2:8" ht="15.45" thickTop="1" thickBot="1">
      <c r="B6" s="411" t="s">
        <v>1297</v>
      </c>
      <c r="C6" s="801" t="s">
        <v>1138</v>
      </c>
      <c r="D6" s="801" t="s">
        <v>1139</v>
      </c>
      <c r="E6" s="802" t="s">
        <v>1187</v>
      </c>
      <c r="F6" s="803" t="s">
        <v>1188</v>
      </c>
      <c r="G6" s="802" t="s">
        <v>1189</v>
      </c>
      <c r="H6" s="803" t="s">
        <v>1190</v>
      </c>
    </row>
    <row r="7" spans="2:8" ht="15.45" thickTop="1" thickBot="1">
      <c r="B7" s="806" t="s">
        <v>1121</v>
      </c>
      <c r="C7" s="808" t="str">
        <f>IF(Adversarial, "",Work!$J$8)</f>
        <v/>
      </c>
      <c r="D7" s="809" t="str">
        <f>IF(Adversarial, "", Work!$B$8)</f>
        <v/>
      </c>
      <c r="E7" s="809" t="str">
        <f>Work!$BI$8</f>
        <v>HARM TO OPERATIONS</v>
      </c>
      <c r="F7" s="809" t="str">
        <f>Work!$BJ$8</f>
        <v>Harms (e.g., financial costs, sanctions) due to noncompliance. - 
With applicable laws or regulations.</v>
      </c>
      <c r="G7" s="809" t="str">
        <f>Work!$BK$8</f>
        <v>21-79+  (Moderate)</v>
      </c>
      <c r="H7" s="819">
        <f>Work!$BL$8</f>
        <v>51</v>
      </c>
    </row>
    <row r="8" spans="2:8" ht="15" thickTop="1">
      <c r="B8" s="912" t="s">
        <v>1300</v>
      </c>
      <c r="C8" s="912"/>
      <c r="D8" s="912"/>
      <c r="E8" s="912"/>
      <c r="H8" s="23"/>
    </row>
  </sheetData>
  <mergeCells count="4">
    <mergeCell ref="E4:F4"/>
    <mergeCell ref="G4:H4"/>
    <mergeCell ref="E5:F5"/>
    <mergeCell ref="G5:H5"/>
  </mergeCells>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tabColor rgb="FF92D050"/>
  </sheetPr>
  <dimension ref="B1:AO8"/>
  <sheetViews>
    <sheetView workbookViewId="0"/>
  </sheetViews>
  <sheetFormatPr defaultRowHeight="14.6"/>
  <cols>
    <col min="3" max="3" width="16" customWidth="1"/>
    <col min="4" max="4" width="10.69140625" customWidth="1"/>
    <col min="5" max="5" width="60.69140625" customWidth="1"/>
    <col min="6" max="6" width="96.69140625" customWidth="1"/>
    <col min="7" max="7" width="32.69140625" customWidth="1"/>
    <col min="8" max="8" width="38.69140625" customWidth="1"/>
    <col min="9" max="9" width="12.69140625" customWidth="1"/>
    <col min="10" max="10" width="34.69140625" customWidth="1"/>
    <col min="11" max="11" width="26.69140625" customWidth="1"/>
    <col min="12" max="12" width="29.69140625" customWidth="1"/>
    <col min="13" max="13" width="24.69140625" customWidth="1"/>
    <col min="14" max="14" width="32.69140625" customWidth="1"/>
    <col min="15" max="15" width="24.69140625" customWidth="1"/>
    <col min="16" max="16" width="36.69140625" customWidth="1"/>
    <col min="17" max="17" width="14.69140625" customWidth="1"/>
    <col min="18" max="18" width="57.15234375" customWidth="1"/>
    <col min="19" max="19" width="34.3046875" customWidth="1"/>
    <col min="20" max="20" width="67.69140625" customWidth="1"/>
    <col min="21" max="21" width="42.53515625" customWidth="1"/>
    <col min="22" max="22" width="32" customWidth="1"/>
    <col min="23" max="23" width="43.15234375" customWidth="1"/>
    <col min="24" max="24" width="134.69140625" customWidth="1"/>
    <col min="25" max="25" width="70.53515625" customWidth="1"/>
    <col min="26" max="26" width="43.53515625" customWidth="1"/>
    <col min="27" max="27" width="33.3046875" customWidth="1"/>
    <col min="28" max="28" width="43.15234375" customWidth="1"/>
    <col min="29" max="29" width="134.69140625" customWidth="1"/>
    <col min="30" max="30" width="24.69140625" customWidth="1"/>
    <col min="31" max="31" width="26.69140625" customWidth="1"/>
    <col min="32" max="32" width="36.15234375" customWidth="1"/>
    <col min="33" max="33" width="26.69140625" customWidth="1"/>
    <col min="34" max="34" width="40.69140625" customWidth="1"/>
    <col min="35" max="35" width="20.69140625" customWidth="1"/>
    <col min="36" max="36" width="40.69140625" customWidth="1"/>
    <col min="37" max="37" width="132.69140625" customWidth="1"/>
    <col min="38" max="38" width="36.69140625" customWidth="1"/>
    <col min="39" max="39" width="26.69140625" customWidth="1"/>
    <col min="40" max="40" width="24.69140625" customWidth="1"/>
    <col min="41" max="41" width="26.69140625" customWidth="1"/>
  </cols>
  <sheetData>
    <row r="1" spans="2:41" ht="15" thickBot="1">
      <c r="W1" s="23"/>
      <c r="X1" s="23"/>
      <c r="AB1" s="23"/>
      <c r="AC1" s="23"/>
      <c r="AD1" s="23"/>
      <c r="AE1" s="23"/>
      <c r="AN1" s="23">
        <f>1+AM1</f>
        <v>1</v>
      </c>
      <c r="AO1" s="23">
        <f>1+AN1</f>
        <v>2</v>
      </c>
    </row>
    <row r="2" spans="2:41" ht="19.3" thickTop="1" thickBot="1">
      <c r="C2" s="128" t="s">
        <v>1196</v>
      </c>
      <c r="J2" s="2186" t="s">
        <v>1209</v>
      </c>
      <c r="K2" s="2187"/>
      <c r="L2" s="2187"/>
      <c r="M2" s="2187"/>
      <c r="N2" s="2187"/>
      <c r="O2" s="2188"/>
      <c r="W2" s="2460"/>
      <c r="X2" s="2460"/>
      <c r="AB2" s="2460"/>
      <c r="AC2" s="2460"/>
      <c r="AD2" s="820"/>
      <c r="AE2" s="820"/>
    </row>
    <row r="3" spans="2:41" ht="20.25" customHeight="1" thickTop="1" thickBot="1">
      <c r="E3" s="2468" t="s">
        <v>1215</v>
      </c>
      <c r="F3" s="2469"/>
      <c r="G3" s="2199" t="s">
        <v>1214</v>
      </c>
      <c r="H3" s="2200"/>
      <c r="I3" s="2201"/>
      <c r="J3" s="2467" t="s">
        <v>1211</v>
      </c>
      <c r="K3" s="2191"/>
      <c r="L3" s="2191" t="s">
        <v>1212</v>
      </c>
      <c r="M3" s="2191"/>
      <c r="N3" s="2191" t="s">
        <v>1213</v>
      </c>
      <c r="O3" s="2192"/>
      <c r="T3" s="2199" t="s">
        <v>1217</v>
      </c>
      <c r="U3" s="2200"/>
      <c r="V3" s="2200"/>
      <c r="W3" s="2200"/>
      <c r="X3" s="2201"/>
      <c r="Y3" s="2468" t="s">
        <v>1224</v>
      </c>
      <c r="Z3" s="2477"/>
      <c r="AA3" s="2477"/>
      <c r="AB3" s="2477"/>
      <c r="AC3" s="2477"/>
      <c r="AD3" s="2477"/>
      <c r="AE3" s="2469"/>
      <c r="AJ3" s="2199" t="s">
        <v>1227</v>
      </c>
      <c r="AK3" s="2200"/>
      <c r="AL3" s="2200"/>
      <c r="AM3" s="2201"/>
    </row>
    <row r="4" spans="2:41" ht="19.3" thickTop="1" thickBot="1">
      <c r="E4" s="2197" t="s">
        <v>1198</v>
      </c>
      <c r="F4" s="2198"/>
      <c r="G4" s="2085" t="s">
        <v>1201</v>
      </c>
      <c r="H4" s="2087"/>
      <c r="I4" s="632" t="s">
        <v>1205</v>
      </c>
      <c r="J4" s="2091" t="s">
        <v>1202</v>
      </c>
      <c r="K4" s="2093"/>
      <c r="L4" s="2091" t="s">
        <v>1203</v>
      </c>
      <c r="M4" s="2093"/>
      <c r="N4" s="2091" t="s">
        <v>1204</v>
      </c>
      <c r="O4" s="2093"/>
      <c r="P4" s="2199" t="s">
        <v>1210</v>
      </c>
      <c r="Q4" s="2201"/>
      <c r="R4" s="2468" t="s">
        <v>1216</v>
      </c>
      <c r="S4" s="2469"/>
      <c r="T4" s="2197" t="s">
        <v>1223</v>
      </c>
      <c r="U4" s="2198"/>
      <c r="V4" s="2470"/>
      <c r="W4" s="2170" t="s">
        <v>1193</v>
      </c>
      <c r="X4" s="2475"/>
      <c r="Y4" s="2126" t="s">
        <v>1220</v>
      </c>
      <c r="Z4" s="2127"/>
      <c r="AA4" s="2128"/>
      <c r="AB4" s="2132" t="s">
        <v>1193</v>
      </c>
      <c r="AC4" s="2169"/>
      <c r="AD4" s="2169"/>
      <c r="AE4" s="2133"/>
      <c r="AF4" s="2199" t="s">
        <v>1225</v>
      </c>
      <c r="AG4" s="2476"/>
      <c r="AH4" s="2478" t="s">
        <v>1228</v>
      </c>
      <c r="AI4" s="2479"/>
      <c r="AJ4" s="527" t="s">
        <v>1192</v>
      </c>
      <c r="AK4" s="528"/>
      <c r="AL4" s="527" t="s">
        <v>1226</v>
      </c>
      <c r="AM4" s="528"/>
      <c r="AN4" s="2482" t="s">
        <v>1231</v>
      </c>
      <c r="AO4" s="2483"/>
    </row>
    <row r="5" spans="2:41" ht="16.5" customHeight="1" thickTop="1" thickBot="1">
      <c r="C5" s="800" t="s">
        <v>170</v>
      </c>
      <c r="D5" s="800" t="s">
        <v>226</v>
      </c>
      <c r="E5" s="2473" t="s">
        <v>724</v>
      </c>
      <c r="F5" s="2474"/>
      <c r="G5" s="2451" t="s">
        <v>1168</v>
      </c>
      <c r="H5" s="2452"/>
      <c r="I5" s="160" t="s">
        <v>153</v>
      </c>
      <c r="J5" s="2451" t="s">
        <v>1171</v>
      </c>
      <c r="K5" s="2452"/>
      <c r="L5" s="2451" t="s">
        <v>1172</v>
      </c>
      <c r="M5" s="2452"/>
      <c r="N5" s="2451" t="s">
        <v>1173</v>
      </c>
      <c r="O5" s="2452"/>
      <c r="P5" s="2471" t="s">
        <v>750</v>
      </c>
      <c r="Q5" s="2472"/>
      <c r="R5" s="2462" t="s">
        <v>1154</v>
      </c>
      <c r="S5" s="2463"/>
      <c r="T5" s="822" t="s">
        <v>1221</v>
      </c>
      <c r="U5" s="2458" t="s">
        <v>1218</v>
      </c>
      <c r="V5" s="2459"/>
      <c r="W5" s="2124" t="s">
        <v>1194</v>
      </c>
      <c r="X5" s="2461"/>
      <c r="Y5" s="822" t="s">
        <v>1219</v>
      </c>
      <c r="Z5" s="2458" t="s">
        <v>1218</v>
      </c>
      <c r="AA5" s="2459"/>
      <c r="AB5" s="2124" t="s">
        <v>1194</v>
      </c>
      <c r="AC5" s="2461"/>
      <c r="AD5" s="2032" t="s">
        <v>1195</v>
      </c>
      <c r="AE5" s="2034"/>
      <c r="AF5" s="2464" t="s">
        <v>1156</v>
      </c>
      <c r="AG5" s="2463"/>
      <c r="AH5" s="2464" t="s">
        <v>1160</v>
      </c>
      <c r="AI5" s="2463"/>
      <c r="AJ5" s="2465" t="s">
        <v>1186</v>
      </c>
      <c r="AK5" s="2466"/>
      <c r="AL5" s="823" t="s">
        <v>1191</v>
      </c>
      <c r="AM5" s="824"/>
      <c r="AN5" s="2480" t="s">
        <v>1090</v>
      </c>
      <c r="AO5" s="2481"/>
    </row>
    <row r="6" spans="2:41" ht="16.5" customHeight="1" thickTop="1" thickBot="1">
      <c r="B6" s="411" t="s">
        <v>1297</v>
      </c>
      <c r="C6" s="801" t="s">
        <v>1138</v>
      </c>
      <c r="D6" s="801" t="s">
        <v>1139</v>
      </c>
      <c r="E6" s="579" t="s">
        <v>1199</v>
      </c>
      <c r="F6" s="579" t="s">
        <v>1200</v>
      </c>
      <c r="G6" s="802" t="s">
        <v>1169</v>
      </c>
      <c r="H6" s="803" t="s">
        <v>1170</v>
      </c>
      <c r="I6" s="598" t="s">
        <v>1141</v>
      </c>
      <c r="J6" s="802" t="s">
        <v>1177</v>
      </c>
      <c r="K6" s="803" t="s">
        <v>1178</v>
      </c>
      <c r="L6" s="802" t="s">
        <v>1179</v>
      </c>
      <c r="M6" s="803" t="s">
        <v>1180</v>
      </c>
      <c r="N6" s="802" t="s">
        <v>1181</v>
      </c>
      <c r="O6" s="803" t="s">
        <v>1182</v>
      </c>
      <c r="P6" s="73" t="s">
        <v>931</v>
      </c>
      <c r="Q6" s="73" t="s">
        <v>1010</v>
      </c>
      <c r="R6" s="802" t="s">
        <v>1164</v>
      </c>
      <c r="S6" s="803" t="s">
        <v>1165</v>
      </c>
      <c r="T6" s="817" t="s">
        <v>1150</v>
      </c>
      <c r="U6" s="802" t="s">
        <v>1151</v>
      </c>
      <c r="V6" s="803" t="s">
        <v>1152</v>
      </c>
      <c r="W6" s="581" t="s">
        <v>925</v>
      </c>
      <c r="X6" s="590" t="s">
        <v>924</v>
      </c>
      <c r="Y6" s="817" t="s">
        <v>1150</v>
      </c>
      <c r="Z6" s="802" t="s">
        <v>1151</v>
      </c>
      <c r="AA6" s="803" t="s">
        <v>1152</v>
      </c>
      <c r="AB6" s="581" t="s">
        <v>925</v>
      </c>
      <c r="AC6" s="590" t="s">
        <v>924</v>
      </c>
      <c r="AD6" s="125" t="s">
        <v>933</v>
      </c>
      <c r="AE6" s="122" t="s">
        <v>895</v>
      </c>
      <c r="AF6" s="802" t="s">
        <v>1158</v>
      </c>
      <c r="AG6" s="803" t="s">
        <v>1159</v>
      </c>
      <c r="AH6" s="802" t="s">
        <v>1161</v>
      </c>
      <c r="AI6" s="803" t="s">
        <v>1162</v>
      </c>
      <c r="AJ6" s="802" t="s">
        <v>1187</v>
      </c>
      <c r="AK6" s="803" t="s">
        <v>1188</v>
      </c>
      <c r="AL6" s="802" t="s">
        <v>1189</v>
      </c>
      <c r="AM6" s="803" t="s">
        <v>1190</v>
      </c>
      <c r="AN6" s="795" t="s">
        <v>1229</v>
      </c>
      <c r="AO6" s="796" t="s">
        <v>1230</v>
      </c>
    </row>
    <row r="7" spans="2:41" ht="15.45" thickTop="1" thickBot="1">
      <c r="B7" s="806" t="s">
        <v>1121</v>
      </c>
      <c r="C7" s="808" t="str">
        <f>IF(Adversarial, "",Work!$J$8)</f>
        <v/>
      </c>
      <c r="D7" s="809" t="str">
        <f>IF(Adversarial, "", Work!$B$8)</f>
        <v/>
      </c>
      <c r="E7" s="809" t="str">
        <f>IF(Adversarial, Work!$AC$8, "n/a")</f>
        <v>Achieve results (i.e., cause adverse impacts, obtain information)</v>
      </c>
      <c r="F7" s="809" t="str">
        <f>IF(Adversarial, Work!$AD$8, "n/a")</f>
        <v>Obtain sensitive information via exfiltration.</v>
      </c>
      <c r="G7" s="809" t="str">
        <f>IF(Adversarial, Work!$L$8,"n/a")</f>
        <v>Adversarial</v>
      </c>
      <c r="H7" s="809" t="str">
        <f>IF(Adversarial, Work!O8,"n/a")</f>
        <v>80-95+  (High)</v>
      </c>
      <c r="I7" s="809" t="str">
        <f>Work!$N$8</f>
        <v>Yes</v>
      </c>
      <c r="J7" s="809" t="str">
        <f>IF(Adversarial, Work!$O$8,"n/a")</f>
        <v>80-95+  (High)</v>
      </c>
      <c r="K7" s="810">
        <f>IF(Adversarial, Work!$P$8,"n/a")</f>
        <v>88</v>
      </c>
      <c r="L7" s="809" t="str">
        <f>IF(Adversarial, Work!$R$8,"n/a")</f>
        <v>5-20+   (Low)</v>
      </c>
      <c r="M7" s="811">
        <f>IF(Adversarial, Work!$S$8,"n/a")</f>
        <v>13</v>
      </c>
      <c r="N7" s="809" t="str">
        <f>IF(Adversarial, Work!$U$8,"n/a")</f>
        <v>5-20+   (Low)</v>
      </c>
      <c r="O7" s="812">
        <f>IF(Adversarial, Work!$V$8,"n/a")</f>
        <v>13</v>
      </c>
      <c r="P7" s="500" t="s">
        <v>371</v>
      </c>
      <c r="Q7" s="633" t="e">
        <f>VLOOKUP(#REF!,'E4'!$C$16:$E$20,2,FALSE)</f>
        <v>#REF!</v>
      </c>
      <c r="R7" s="809" t="str">
        <f>IF(Adversarial, Work!$AW$8,"n/a")</f>
        <v>5-20+   (Low)</v>
      </c>
      <c r="S7" s="809">
        <f>IF(Adversarial, Work!BM8,"n/a")</f>
        <v>3</v>
      </c>
      <c r="T7" s="818" t="str">
        <f>IF(Work!$AJ$8=0, "?", Work!$AJ$8)</f>
        <v>Experience with known nation state attackers.</v>
      </c>
      <c r="U7" s="809" t="str">
        <f>Work!BE8</f>
        <v>Moderate</v>
      </c>
      <c r="V7" s="819">
        <f>Work!BF8</f>
        <v>69.400000000000006</v>
      </c>
      <c r="W7" s="596" t="s">
        <v>898</v>
      </c>
      <c r="X7" s="595" t="s">
        <v>906</v>
      </c>
      <c r="Y7" s="818" t="str">
        <f>IF(Work!$AJ$8=0, "?", Work!$AJ$8)</f>
        <v>Experience with known nation state attackers.</v>
      </c>
      <c r="Z7" s="809">
        <f>Work!BH8</f>
        <v>3</v>
      </c>
      <c r="AA7" s="819" t="str">
        <f>Work!BI8</f>
        <v>HARM TO OPERATIONS</v>
      </c>
      <c r="AB7" s="596" t="s">
        <v>898</v>
      </c>
      <c r="AC7" s="595" t="s">
        <v>906</v>
      </c>
      <c r="AD7" s="126" t="s">
        <v>131</v>
      </c>
      <c r="AE7" s="457">
        <v>3</v>
      </c>
      <c r="AF7" s="809" t="str">
        <f>IF(Adversarial, Work!$R$8,"n/a")</f>
        <v>5-20+   (Low)</v>
      </c>
      <c r="AG7" s="811">
        <f>IF(Adversarial, Work!$S$8,"n/a")</f>
        <v>13</v>
      </c>
      <c r="AH7" s="809" t="str">
        <f>Work!$U$8</f>
        <v>5-20+   (Low)</v>
      </c>
      <c r="AI7" s="812">
        <f>Work!$V$8</f>
        <v>13</v>
      </c>
      <c r="AJ7" s="809" t="str">
        <f>Work!$BI$8</f>
        <v>HARM TO OPERATIONS</v>
      </c>
      <c r="AK7" s="809" t="str">
        <f>Work!$BJ$8</f>
        <v>Harms (e.g., financial costs, sanctions) due to noncompliance. - 
With applicable laws or regulations.</v>
      </c>
      <c r="AL7" s="809" t="str">
        <f>Work!$BK$8</f>
        <v>21-79+  (Moderate)</v>
      </c>
      <c r="AM7" s="813">
        <f>Work!$BL$8</f>
        <v>51</v>
      </c>
      <c r="AN7" s="793" t="e">
        <f>Work!#REF!</f>
        <v>#REF!</v>
      </c>
      <c r="AO7" s="578" t="e">
        <f>Work!#REF!</f>
        <v>#REF!</v>
      </c>
    </row>
    <row r="8" spans="2:41" ht="15" thickTop="1">
      <c r="B8" s="912" t="s">
        <v>1300</v>
      </c>
      <c r="C8" s="912"/>
      <c r="D8" s="912"/>
      <c r="E8" s="912"/>
      <c r="W8" s="759"/>
      <c r="X8" s="759"/>
      <c r="AB8" s="759"/>
      <c r="AC8" s="759"/>
      <c r="AM8" s="825"/>
      <c r="AN8" s="757"/>
      <c r="AO8" s="757"/>
    </row>
  </sheetData>
  <mergeCells count="41">
    <mergeCell ref="AJ3:AM3"/>
    <mergeCell ref="AH5:AI5"/>
    <mergeCell ref="AH4:AI4"/>
    <mergeCell ref="AJ5:AK5"/>
    <mergeCell ref="AN5:AO5"/>
    <mergeCell ref="AN4:AO4"/>
    <mergeCell ref="AF5:AG5"/>
    <mergeCell ref="AF4:AG4"/>
    <mergeCell ref="AB2:AC2"/>
    <mergeCell ref="AB4:AE4"/>
    <mergeCell ref="AB5:AC5"/>
    <mergeCell ref="AD5:AE5"/>
    <mergeCell ref="Y3:AE3"/>
    <mergeCell ref="W2:X2"/>
    <mergeCell ref="W5:X5"/>
    <mergeCell ref="T3:X3"/>
    <mergeCell ref="W4:X4"/>
    <mergeCell ref="Y4:AA4"/>
    <mergeCell ref="Z5:AA5"/>
    <mergeCell ref="G3:I3"/>
    <mergeCell ref="E3:F3"/>
    <mergeCell ref="R5:S5"/>
    <mergeCell ref="R4:S4"/>
    <mergeCell ref="T4:V4"/>
    <mergeCell ref="U5:V5"/>
    <mergeCell ref="P5:Q5"/>
    <mergeCell ref="J5:K5"/>
    <mergeCell ref="L5:M5"/>
    <mergeCell ref="N5:O5"/>
    <mergeCell ref="E5:F5"/>
    <mergeCell ref="E4:F4"/>
    <mergeCell ref="G4:H4"/>
    <mergeCell ref="G5:H5"/>
    <mergeCell ref="J2:O2"/>
    <mergeCell ref="J3:K3"/>
    <mergeCell ref="L3:M3"/>
    <mergeCell ref="N3:O3"/>
    <mergeCell ref="P4:Q4"/>
    <mergeCell ref="J4:K4"/>
    <mergeCell ref="L4:M4"/>
    <mergeCell ref="N4:O4"/>
  </mergeCells>
  <conditionalFormatting sqref="H6">
    <cfRule type="expression" dxfId="81" priority="46">
      <formula>SmeRatingDTF2</formula>
    </cfRule>
  </conditionalFormatting>
  <conditionalFormatting sqref="G7">
    <cfRule type="containsText" dxfId="80" priority="41" operator="containsText" text="(Very Low)">
      <formula>NOT(ISERROR(SEARCH("(Very Low)",G7)))</formula>
    </cfRule>
    <cfRule type="containsText" dxfId="79" priority="42" operator="containsText" text="(Low)">
      <formula>NOT(ISERROR(SEARCH("(Low)",G7)))</formula>
    </cfRule>
    <cfRule type="containsText" dxfId="78" priority="43" operator="containsText" text="Moderate">
      <formula>NOT(ISERROR(SEARCH("Moderate",G7)))</formula>
    </cfRule>
    <cfRule type="containsText" dxfId="77" priority="44" operator="containsText" text="(High)">
      <formula>NOT(ISERROR(SEARCH("(High)",G7)))</formula>
    </cfRule>
    <cfRule type="containsText" dxfId="76" priority="45" operator="containsText" text="(Very High)">
      <formula>NOT(ISERROR(SEARCH("(Very High)",G7)))</formula>
    </cfRule>
  </conditionalFormatting>
  <conditionalFormatting sqref="X6">
    <cfRule type="expression" dxfId="75" priority="33">
      <formula>CheckF4Val_DTABLES</formula>
    </cfRule>
  </conditionalFormatting>
  <conditionalFormatting sqref="AD5">
    <cfRule type="expression" dxfId="74" priority="16">
      <formula>SmeRatingD3</formula>
    </cfRule>
  </conditionalFormatting>
  <conditionalFormatting sqref="AD5:AE5">
    <cfRule type="expression" dxfId="73" priority="13">
      <formula>SmeRatingDTF5</formula>
    </cfRule>
  </conditionalFormatting>
  <conditionalFormatting sqref="AE6">
    <cfRule type="expression" dxfId="72" priority="15">
      <formula>SmeRatingDTF5</formula>
    </cfRule>
    <cfRule type="expression" dxfId="71" priority="22">
      <formula>SmeRatingD3</formula>
    </cfRule>
  </conditionalFormatting>
  <conditionalFormatting sqref="AC6">
    <cfRule type="expression" dxfId="70" priority="14">
      <formula>CheckF4Val_DTABLES</formula>
    </cfRule>
  </conditionalFormatting>
  <conditionalFormatting sqref="AO6">
    <cfRule type="expression" dxfId="69" priority="12">
      <formula>SmeRatingD3</formula>
    </cfRule>
  </conditionalFormatting>
  <conditionalFormatting sqref="AN7">
    <cfRule type="containsText" dxfId="68" priority="7" operator="containsText" text="(Very Low)">
      <formula>NOT(ISERROR(SEARCH("(Very Low)",AN7)))</formula>
    </cfRule>
    <cfRule type="containsText" dxfId="67" priority="8" operator="containsText" text="(Low)">
      <formula>NOT(ISERROR(SEARCH("(Low)",AN7)))</formula>
    </cfRule>
    <cfRule type="containsText" dxfId="66" priority="9" operator="containsText" text="Moderate">
      <formula>NOT(ISERROR(SEARCH("Moderate",AN7)))</formula>
    </cfRule>
    <cfRule type="containsText" dxfId="65" priority="10" operator="containsText" text="(High)">
      <formula>NOT(ISERROR(SEARCH("(High)",AN7)))</formula>
    </cfRule>
    <cfRule type="containsText" dxfId="64" priority="11" operator="containsText" text="(Very High)">
      <formula>NOT(ISERROR(SEARCH("(Very High)",AN7)))</formula>
    </cfRule>
  </conditionalFormatting>
  <conditionalFormatting sqref="AN5">
    <cfRule type="expression" dxfId="63" priority="5">
      <formula>SmeRatingI3</formula>
    </cfRule>
  </conditionalFormatting>
  <dataValidations count="2">
    <dataValidation allowBlank="1" sqref="AO7" xr:uid="{00000000-0002-0000-2900-000000000000}"/>
    <dataValidation allowBlank="1" showErrorMessage="1" sqref="AN7" xr:uid="{00000000-0002-0000-2900-000001000000}"/>
  </dataValidations>
  <pageMargins left="0.7" right="0.7" top="0.75" bottom="0.75" header="0.3" footer="0.3"/>
  <pageSetup orientation="portrait" verticalDpi="0" r:id="rId1"/>
  <drawing r:id="rId2"/>
  <extLst>
    <ext xmlns:x14="http://schemas.microsoft.com/office/spreadsheetml/2009/9/main" uri="{78C0D931-6437-407d-A8EE-F0AAD7539E65}">
      <x14:conditionalFormattings>
        <x14:conditionalFormatting xmlns:xm="http://schemas.microsoft.com/office/excel/2006/main">
          <x14:cfRule type="containsText" priority="34" operator="containsText" text="(Low)" id="{3782B8A0-3111-4943-BDCA-4155673DA37C}">
            <xm:f>NOT(ISERROR(SEARCH("(Low)",'E4'!O7)))</xm:f>
            <x14:dxf>
              <font>
                <b/>
                <i val="0"/>
              </font>
              <fill>
                <patternFill>
                  <bgColor theme="9" tint="0.59996337778862885"/>
                </patternFill>
              </fill>
            </x14:dxf>
          </x14:cfRule>
          <x14:cfRule type="containsText" priority="35" operator="containsText" text="Moderate" id="{D47F8B6E-CD0A-4EB4-9EA6-4CA3551E6365}">
            <xm:f>NOT(ISERROR(SEARCH("Moderate",'E4'!O7)))</xm:f>
            <x14:dxf>
              <font>
                <b/>
                <i val="0"/>
              </font>
              <fill>
                <patternFill>
                  <bgColor rgb="FFFFFF00"/>
                </patternFill>
              </fill>
            </x14:dxf>
          </x14:cfRule>
          <x14:cfRule type="containsText" priority="36" operator="containsText" text="(High)" id="{564CE69D-503A-4E97-86E7-33BE261C260D}">
            <xm:f>NOT(ISERROR(SEARCH("(High)",'E4'!O7)))</xm:f>
            <x14:dxf>
              <font>
                <b/>
                <i val="0"/>
              </font>
              <fill>
                <patternFill>
                  <bgColor rgb="FFFF7C80"/>
                </patternFill>
              </fill>
            </x14:dxf>
          </x14:cfRule>
          <x14:cfRule type="containsText" priority="37" operator="containsText" text="(Very High)" id="{D98A055E-77E2-49ED-AAE9-7D3018EC3860}">
            <xm:f>NOT(ISERROR(SEARCH("(Very High)",'E4'!O7)))</xm:f>
            <x14:dxf>
              <font>
                <b/>
                <i val="0"/>
              </font>
              <fill>
                <patternFill>
                  <bgColor rgb="FFFF0000"/>
                </patternFill>
              </fill>
            </x14:dxf>
          </x14:cfRule>
          <x14:cfRule type="containsText" priority="47" operator="containsText" text="(Very Low)" id="{58345C88-75CC-408D-AC58-498C9A20814B}">
            <xm:f>NOT(ISERROR(SEARCH("(Very Low)",'E4'!O7)))</xm:f>
            <x14:dxf>
              <font>
                <b/>
                <i val="0"/>
              </font>
              <fill>
                <patternFill>
                  <bgColor rgb="FF92D050"/>
                </patternFill>
              </fill>
            </x14:dxf>
          </x14:cfRule>
          <xm:sqref>P7</xm:sqref>
        </x14:conditionalFormatting>
        <x14:conditionalFormatting xmlns:xm="http://schemas.microsoft.com/office/excel/2006/main">
          <x14:cfRule type="containsText" priority="17" operator="containsText" text="(Very High)" id="{386C836F-1DCE-427D-9C38-AFD9C6AA6B89}">
            <xm:f>NOT(ISERROR(SEARCH("(Very High)",'_Table F6'!AD7)))</xm:f>
            <x14:dxf>
              <font>
                <b/>
                <i val="0"/>
              </font>
              <fill>
                <patternFill>
                  <bgColor rgb="FFFF0000"/>
                </patternFill>
              </fill>
            </x14:dxf>
          </x14:cfRule>
          <x14:cfRule type="containsText" priority="49" operator="containsText" text="(Very Low)" id="{B58D39F4-088C-450A-B217-85FE87D987BA}">
            <xm:f>NOT(ISERROR(SEARCH("(Very Low)",'_Table F6'!AD7)))</xm:f>
            <x14:dxf>
              <font>
                <b/>
                <i val="0"/>
              </font>
              <fill>
                <patternFill>
                  <bgColor rgb="FF92D050"/>
                </patternFill>
              </fill>
            </x14:dxf>
          </x14:cfRule>
          <x14:cfRule type="containsText" priority="49" operator="containsText" text="Moderate" id="{F0631524-2EFE-4475-A339-A0162627243A}">
            <xm:f>NOT(ISERROR(SEARCH("Moderate",'_Table F6'!AD7)))</xm:f>
            <x14:dxf>
              <font>
                <b/>
                <i val="0"/>
              </font>
              <fill>
                <patternFill>
                  <bgColor rgb="FFFFFF00"/>
                </patternFill>
              </fill>
            </x14:dxf>
          </x14:cfRule>
          <x14:cfRule type="containsText" priority="49" operator="containsText" text="(High)" id="{A6BBDD1E-808E-446C-A047-A0C48E9B7B9C}">
            <xm:f>NOT(ISERROR(SEARCH("(High)",'_Table F6'!AD7)))</xm:f>
            <x14:dxf>
              <font>
                <b/>
                <i val="0"/>
              </font>
              <fill>
                <patternFill>
                  <bgColor rgb="FFFF7C80"/>
                </patternFill>
              </fill>
            </x14:dxf>
          </x14:cfRule>
          <x14:cfRule type="containsText" priority="49" operator="containsText" text="(Low)" id="{C9BC6799-C152-4EC7-8ADE-AC30673A60DA}">
            <xm:f>NOT(ISERROR(SEARCH("(Low)",'_Table F6'!AD7)))</xm:f>
            <x14:dxf>
              <font>
                <b/>
                <i val="0"/>
              </font>
              <fill>
                <patternFill>
                  <bgColor theme="9" tint="0.59996337778862885"/>
                </patternFill>
              </fill>
            </x14:dxf>
          </x14:cfRule>
          <xm:sqref>AD7</xm:sqref>
        </x14:conditionalFormatting>
        <x14:conditionalFormatting xmlns:xm="http://schemas.microsoft.com/office/excel/2006/main">
          <x14:cfRule type="expression" priority="2522" id="{A6C14C67-E4E0-4FAD-A331-36FC7934EDC1}">
            <xm:f>IF((1*Work!$AG$8),1,0)</xm:f>
            <x14:dxf>
              <fill>
                <patternFill>
                  <bgColor theme="7" tint="0.79998168889431442"/>
                </patternFill>
              </fill>
            </x14:dxf>
          </x14:cfRule>
          <x14:cfRule type="expression" priority="2523" id="{E3AACA85-55CA-46B6-B223-05E8719ABEB2}">
            <xm:f>IF((1*Work!$AG$8),0,1)</xm:f>
            <x14:dxf>
              <fill>
                <patternFill patternType="solid">
                  <bgColor theme="4" tint="0.39994506668294322"/>
                </patternFill>
              </fill>
            </x14:dxf>
          </x14:cfRule>
          <xm:sqref>Q7</xm:sqref>
        </x14:conditionalFormatting>
      </x14:conditionalFormattings>
    </ext>
    <ext xmlns:x14="http://schemas.microsoft.com/office/spreadsheetml/2009/9/main" uri="{CCE6A557-97BC-4b89-ADB6-D9C93CAAB3DF}">
      <x14:dataValidations xmlns:xm="http://schemas.microsoft.com/office/excel/2006/main" count="8">
        <x14:dataValidation type="list" allowBlank="1" xr:uid="{00000000-0002-0000-2900-000002000000}">
          <x14:formula1>
            <xm:f>'F5'!K41</xm:f>
          </x14:formula1>
          <xm:sqref>AE7</xm:sqref>
        </x14:dataValidation>
        <x14:dataValidation type="list" allowBlank="1" xr:uid="{00000000-0002-0000-2900-000003000000}">
          <x14:formula1>
            <xm:f>OFFSET('F4'!$C$56, 1, MATCH($AG$7,'F4'!XEC56:XEE56,0)-1,  COUNTA(  OFFSET('F4'!$C$56,1, MATCH($AG$7, 'F4'!XEC56:XEE56,0)-1, 40, 1) ), 1)</xm:f>
          </x14:formula1>
          <xm:sqref>X7</xm:sqref>
        </x14:dataValidation>
        <x14:dataValidation type="list" allowBlank="1" xr:uid="{00000000-0002-0000-2900-000004000000}">
          <x14:formula1>
            <xm:f>OFFSET('F4'!$C$56, 1, MATCH($AG$7,'F4'!XEH56:XFD56,0)-1,  COUNTA(  OFFSET('F4'!$C$56,1, MATCH($AG$7, 'F4'!XEH56:XFD56,0)-1, 40, 1) ), 1)</xm:f>
          </x14:formula1>
          <xm:sqref>AC7</xm:sqref>
        </x14:dataValidation>
        <x14:dataValidation type="list" allowBlank="1" showErrorMessage="1" xr:uid="{00000000-0002-0000-2900-000005000000}">
          <x14:formula1>
            <xm:f>'E4'!XEQ16:XEQ20</xm:f>
          </x14:formula1>
          <xm:sqref>P7</xm:sqref>
        </x14:dataValidation>
        <x14:dataValidation type="list" allowBlank="1" showErrorMessage="1" xr:uid="{00000000-0002-0000-2900-000006000000}">
          <x14:formula1>
            <xm:f>'F4'!XEB26:XEB28</xm:f>
          </x14:formula1>
          <xm:sqref>W7 AB7</xm:sqref>
        </x14:dataValidation>
        <x14:dataValidation type="list" allowBlank="1" xr:uid="{00000000-0002-0000-2900-000008000000}">
          <x14:formula1>
            <xm:f>'F2'!XEX28</xm:f>
          </x14:formula1>
          <xm:sqref>H7</xm:sqref>
        </x14:dataValidation>
        <x14:dataValidation type="list" allowBlank="1" showErrorMessage="1" xr:uid="{00000000-0002-0000-2900-000009000000}">
          <x14:formula1>
            <xm:f>'F2'!XEK17:XEK22</xm:f>
          </x14:formula1>
          <xm:sqref>G7</xm:sqref>
        </x14:dataValidation>
        <x14:dataValidation type="list" allowBlank="1" showErrorMessage="1" xr:uid="{00000000-0002-0000-2900-00000A000000}">
          <x14:formula1>
            <xm:f>'F2'!XFB17:XFB22</xm:f>
          </x14:formula1>
          <xm:sqref>AD7</xm:sqref>
        </x14:dataValidation>
      </x14:dataValidations>
    </ext>
  </extLst>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sheetPr>
    <tabColor rgb="FF92D050"/>
  </sheetPr>
  <dimension ref="B1:AL32"/>
  <sheetViews>
    <sheetView workbookViewId="0"/>
  </sheetViews>
  <sheetFormatPr defaultRowHeight="14.6"/>
  <cols>
    <col min="2" max="2" width="14.69140625" customWidth="1"/>
    <col min="3" max="3" width="20.69140625" customWidth="1"/>
    <col min="4" max="4" width="14.69140625" customWidth="1"/>
    <col min="5" max="5" width="46.3046875" customWidth="1"/>
    <col min="6" max="6" width="32.69140625" customWidth="1"/>
    <col min="7" max="7" width="38.69140625" customWidth="1"/>
    <col min="8" max="8" width="16.69140625" customWidth="1"/>
    <col min="9" max="9" width="40.69140625" customWidth="1"/>
    <col min="10" max="10" width="26.69140625" customWidth="1"/>
    <col min="11" max="11" width="32.69140625" customWidth="1"/>
    <col min="12" max="12" width="14.69140625" customWidth="1"/>
    <col min="13" max="13" width="34.69140625" customWidth="1"/>
    <col min="14" max="14" width="26.69140625" customWidth="1"/>
    <col min="15" max="15" width="54.69140625" customWidth="1"/>
    <col min="16" max="16" width="35.15234375" customWidth="1"/>
    <col min="17" max="17" width="24.69140625" customWidth="1"/>
    <col min="18" max="18" width="49.84375" customWidth="1"/>
    <col min="19" max="19" width="134.69140625" customWidth="1"/>
    <col min="20" max="20" width="37.69140625" customWidth="1"/>
    <col min="21" max="21" width="33.3828125" customWidth="1"/>
    <col min="22" max="22" width="24.69140625" customWidth="1"/>
    <col min="23" max="23" width="26.69140625" customWidth="1"/>
    <col min="24" max="24" width="28.69140625" customWidth="1"/>
    <col min="25" max="25" width="26.69140625" customWidth="1"/>
    <col min="26" max="26" width="36.15234375" customWidth="1"/>
    <col min="27" max="27" width="26.69140625" customWidth="1"/>
    <col min="28" max="28" width="40.69140625" customWidth="1"/>
    <col min="29" max="29" width="20.69140625" customWidth="1"/>
    <col min="30" max="30" width="40.69140625" customWidth="1"/>
    <col min="31" max="31" width="132.69140625" customWidth="1"/>
    <col min="32" max="32" width="36.69140625" customWidth="1"/>
    <col min="33" max="33" width="26.69140625" customWidth="1"/>
    <col min="34" max="34" width="28.69140625" customWidth="1"/>
    <col min="35" max="35" width="32.69140625" customWidth="1"/>
    <col min="36" max="36" width="38.69140625" customWidth="1"/>
  </cols>
  <sheetData>
    <row r="1" spans="2:38" ht="15" thickBot="1"/>
    <row r="2" spans="2:38" ht="19.3" thickTop="1" thickBot="1">
      <c r="C2" s="2494" t="s">
        <v>1197</v>
      </c>
      <c r="D2" s="2495"/>
      <c r="E2" s="2495"/>
      <c r="F2" s="2495"/>
      <c r="G2" s="2495"/>
      <c r="H2" s="2495"/>
      <c r="I2" s="2495"/>
      <c r="J2" s="2495"/>
      <c r="K2" s="2495"/>
      <c r="L2" s="2495"/>
      <c r="M2" s="2495"/>
      <c r="N2" s="2495"/>
      <c r="O2" s="2495"/>
      <c r="P2" s="2495"/>
      <c r="Q2" s="2495"/>
      <c r="R2" s="2495"/>
      <c r="S2" s="2495"/>
      <c r="T2" s="2495"/>
      <c r="U2" s="2495"/>
      <c r="V2" s="2495"/>
      <c r="W2" s="2495"/>
      <c r="X2" s="2495"/>
      <c r="Y2" s="2495"/>
      <c r="Z2" s="2495"/>
      <c r="AA2" s="2495"/>
      <c r="AB2" s="2495"/>
      <c r="AC2" s="2495"/>
      <c r="AD2" s="2495"/>
      <c r="AE2" s="2495"/>
      <c r="AF2" s="2495"/>
      <c r="AG2" s="2495"/>
      <c r="AH2" s="2495"/>
      <c r="AI2" s="2495"/>
      <c r="AJ2" s="2496"/>
    </row>
    <row r="3" spans="2:38" s="246" customFormat="1" ht="19.3" thickTop="1" thickBot="1">
      <c r="E3" s="573" t="s">
        <v>1995</v>
      </c>
      <c r="F3" s="2126" t="s">
        <v>1232</v>
      </c>
      <c r="G3" s="2127"/>
      <c r="H3" s="2127"/>
      <c r="I3" s="2490" t="s">
        <v>1233</v>
      </c>
      <c r="J3" s="2491"/>
      <c r="K3" s="1641" t="s">
        <v>1234</v>
      </c>
      <c r="O3" s="2197" t="s">
        <v>1237</v>
      </c>
      <c r="P3" s="2506"/>
      <c r="Q3" s="2506"/>
      <c r="R3" s="2506"/>
      <c r="S3" s="2506"/>
      <c r="T3" s="2506"/>
      <c r="U3" s="2507"/>
      <c r="V3" s="2203" t="s">
        <v>1238</v>
      </c>
      <c r="W3" s="2501"/>
      <c r="X3" s="2501"/>
      <c r="Y3" s="2502"/>
      <c r="AD3" s="2126" t="s">
        <v>1241</v>
      </c>
      <c r="AE3" s="2127"/>
      <c r="AF3" s="2127"/>
      <c r="AG3" s="2127"/>
      <c r="AH3" s="2127"/>
      <c r="AI3" s="2127"/>
      <c r="AJ3" s="2128"/>
      <c r="AK3"/>
      <c r="AL3"/>
    </row>
    <row r="4" spans="2:38" s="246" customFormat="1" ht="19.3" thickTop="1" thickBot="1">
      <c r="B4" s="1578" t="s">
        <v>1918</v>
      </c>
      <c r="C4" s="1578"/>
      <c r="D4" s="1578"/>
      <c r="E4" s="1516" t="s">
        <v>1198</v>
      </c>
      <c r="F4" s="2107" t="s">
        <v>1208</v>
      </c>
      <c r="G4" s="2108"/>
      <c r="H4" s="2109"/>
      <c r="I4" s="2492" t="s">
        <v>1977</v>
      </c>
      <c r="J4" s="2493"/>
      <c r="K4" s="1529" t="s">
        <v>2000</v>
      </c>
      <c r="L4" s="1642"/>
      <c r="M4" s="1628" t="s">
        <v>1235</v>
      </c>
      <c r="N4" s="1754"/>
      <c r="O4" s="2503" t="s">
        <v>1223</v>
      </c>
      <c r="P4" s="2504"/>
      <c r="Q4" s="2505"/>
      <c r="R4" s="2224" t="s">
        <v>923</v>
      </c>
      <c r="S4" s="2225"/>
      <c r="T4" s="2486" t="s">
        <v>1236</v>
      </c>
      <c r="U4" s="2487"/>
      <c r="V4" s="2497" t="s">
        <v>893</v>
      </c>
      <c r="W4" s="2498"/>
      <c r="X4" s="2083" t="s">
        <v>1193</v>
      </c>
      <c r="Y4" s="2084"/>
      <c r="Z4" s="2126" t="s">
        <v>1239</v>
      </c>
      <c r="AA4" s="2128"/>
      <c r="AB4" s="2126" t="s">
        <v>1240</v>
      </c>
      <c r="AC4" s="2128"/>
      <c r="AD4" s="1639" t="s">
        <v>1192</v>
      </c>
      <c r="AE4" s="1640"/>
      <c r="AF4" s="1639" t="s">
        <v>1226</v>
      </c>
      <c r="AG4" s="1640"/>
      <c r="AH4" s="2468" t="s">
        <v>1242</v>
      </c>
      <c r="AI4" s="2477"/>
      <c r="AJ4" s="2469"/>
      <c r="AK4"/>
      <c r="AL4"/>
    </row>
    <row r="5" spans="2:38" s="246" customFormat="1" ht="19.3" thickTop="1" thickBot="1">
      <c r="E5" s="1671" t="s">
        <v>731</v>
      </c>
      <c r="F5" s="2083" t="s">
        <v>1168</v>
      </c>
      <c r="G5" s="2097"/>
      <c r="H5" s="2084"/>
      <c r="I5" s="2209"/>
      <c r="J5" s="2210"/>
      <c r="K5" s="2484" t="s">
        <v>750</v>
      </c>
      <c r="L5" s="1529"/>
      <c r="M5" s="1727"/>
      <c r="N5" s="1727"/>
      <c r="O5" s="1739"/>
      <c r="P5" s="2165" t="s">
        <v>1218</v>
      </c>
      <c r="Q5" s="2166"/>
      <c r="R5" s="2226"/>
      <c r="S5" s="2227"/>
      <c r="T5" s="2488"/>
      <c r="U5" s="2489"/>
      <c r="V5" s="2499"/>
      <c r="W5" s="2500"/>
      <c r="X5" s="2032" t="s">
        <v>1195</v>
      </c>
      <c r="Y5" s="2034"/>
      <c r="Z5" s="2137" t="s">
        <v>1156</v>
      </c>
      <c r="AA5" s="2138"/>
      <c r="AB5" s="2137" t="s">
        <v>1160</v>
      </c>
      <c r="AC5" s="2138"/>
      <c r="AD5" s="1643" t="s">
        <v>1186</v>
      </c>
      <c r="AE5" s="1644"/>
      <c r="AF5" s="1643" t="s">
        <v>1191</v>
      </c>
      <c r="AG5" s="1644"/>
      <c r="AH5" s="1725" t="s">
        <v>1734</v>
      </c>
      <c r="AI5" s="2508" t="s">
        <v>1736</v>
      </c>
      <c r="AJ5" s="2509"/>
      <c r="AK5"/>
      <c r="AL5"/>
    </row>
    <row r="6" spans="2:38" s="246" customFormat="1" ht="19.3" thickTop="1" thickBot="1">
      <c r="C6" s="1434" t="s">
        <v>170</v>
      </c>
      <c r="D6" s="1434" t="s">
        <v>226</v>
      </c>
      <c r="E6" s="1521" t="s">
        <v>1997</v>
      </c>
      <c r="F6" s="628" t="s">
        <v>1975</v>
      </c>
      <c r="G6" s="628" t="s">
        <v>1808</v>
      </c>
      <c r="H6" s="1663" t="s">
        <v>1728</v>
      </c>
      <c r="I6" s="1724" t="s">
        <v>171</v>
      </c>
      <c r="J6" s="472" t="s">
        <v>175</v>
      </c>
      <c r="K6" s="2485"/>
      <c r="L6" s="628" t="s">
        <v>1010</v>
      </c>
      <c r="M6" s="1521" t="s">
        <v>1013</v>
      </c>
      <c r="N6" s="573" t="s">
        <v>937</v>
      </c>
      <c r="O6" s="1687" t="s">
        <v>1982</v>
      </c>
      <c r="P6" s="1516" t="s">
        <v>1908</v>
      </c>
      <c r="Q6" s="1714" t="s">
        <v>1854</v>
      </c>
      <c r="R6" s="1524" t="s">
        <v>1986</v>
      </c>
      <c r="S6" s="1627" t="s">
        <v>925</v>
      </c>
      <c r="T6" s="1517" t="s">
        <v>933</v>
      </c>
      <c r="U6" s="472" t="s">
        <v>895</v>
      </c>
      <c r="V6" s="1553" t="s">
        <v>893</v>
      </c>
      <c r="W6" s="1755" t="s">
        <v>894</v>
      </c>
      <c r="X6" s="1553" t="s">
        <v>933</v>
      </c>
      <c r="Y6" s="472" t="s">
        <v>895</v>
      </c>
      <c r="Z6" s="628" t="s">
        <v>1870</v>
      </c>
      <c r="AA6" s="628" t="s">
        <v>1871</v>
      </c>
      <c r="AB6" s="628" t="s">
        <v>1992</v>
      </c>
      <c r="AC6" s="628" t="s">
        <v>952</v>
      </c>
      <c r="AD6" s="1756" t="s">
        <v>1883</v>
      </c>
      <c r="AE6" s="1656" t="s">
        <v>995</v>
      </c>
      <c r="AF6" s="1757" t="s">
        <v>1916</v>
      </c>
      <c r="AG6" s="1757" t="s">
        <v>997</v>
      </c>
      <c r="AH6" s="1553" t="s">
        <v>1733</v>
      </c>
      <c r="AI6" s="472" t="s">
        <v>1736</v>
      </c>
      <c r="AJ6" s="1755" t="s">
        <v>1737</v>
      </c>
      <c r="AK6"/>
      <c r="AL6"/>
    </row>
    <row r="7" spans="2:38" s="248" customFormat="1" ht="16.75" thickTop="1" thickBot="1">
      <c r="B7" s="1762" t="s">
        <v>1297</v>
      </c>
      <c r="C7" s="1759" t="s">
        <v>1138</v>
      </c>
      <c r="D7" s="1759" t="s">
        <v>1139</v>
      </c>
      <c r="E7" s="1765" t="s">
        <v>1996</v>
      </c>
      <c r="F7" s="1544" t="s">
        <v>1974</v>
      </c>
      <c r="G7" s="1544" t="s">
        <v>1976</v>
      </c>
      <c r="H7" s="1744" t="s">
        <v>1891</v>
      </c>
      <c r="I7" s="1744" t="s">
        <v>1978</v>
      </c>
      <c r="J7" s="1745" t="s">
        <v>1979</v>
      </c>
      <c r="K7" s="1746" t="s">
        <v>1844</v>
      </c>
      <c r="L7" s="1747" t="s">
        <v>1845</v>
      </c>
      <c r="M7" s="1746" t="s">
        <v>1980</v>
      </c>
      <c r="N7" s="1746" t="s">
        <v>1875</v>
      </c>
      <c r="O7" s="1748" t="s">
        <v>1981</v>
      </c>
      <c r="P7" s="1749" t="s">
        <v>1983</v>
      </c>
      <c r="Q7" s="1750" t="s">
        <v>1984</v>
      </c>
      <c r="R7" s="1661" t="s">
        <v>1922</v>
      </c>
      <c r="S7" s="1751" t="s">
        <v>1985</v>
      </c>
      <c r="T7" s="1544" t="s">
        <v>1919</v>
      </c>
      <c r="U7" s="1597" t="s">
        <v>1987</v>
      </c>
      <c r="V7" s="1544" t="s">
        <v>1948</v>
      </c>
      <c r="W7" s="1661" t="s">
        <v>1988</v>
      </c>
      <c r="X7" s="1740" t="s">
        <v>1919</v>
      </c>
      <c r="Y7" s="1597" t="s">
        <v>1987</v>
      </c>
      <c r="Z7" s="1749" t="s">
        <v>1989</v>
      </c>
      <c r="AA7" s="1752" t="s">
        <v>1990</v>
      </c>
      <c r="AB7" s="1749" t="s">
        <v>1991</v>
      </c>
      <c r="AC7" s="1752" t="s">
        <v>1926</v>
      </c>
      <c r="AD7" s="1742" t="s">
        <v>1913</v>
      </c>
      <c r="AE7" s="1743" t="s">
        <v>1930</v>
      </c>
      <c r="AF7" s="1753" t="s">
        <v>1915</v>
      </c>
      <c r="AG7" s="1743" t="s">
        <v>1917</v>
      </c>
      <c r="AH7" s="72" t="s">
        <v>1931</v>
      </c>
      <c r="AI7" s="1741" t="s">
        <v>1994</v>
      </c>
      <c r="AJ7" s="1758" t="s">
        <v>1993</v>
      </c>
      <c r="AK7"/>
      <c r="AL7"/>
    </row>
    <row r="8" spans="2:38" ht="15.45" thickTop="1" thickBot="1">
      <c r="B8" s="1763" t="s">
        <v>1839</v>
      </c>
      <c r="C8" s="1760" t="str">
        <f>IF(Adversarial, "",Work!$J$8)</f>
        <v/>
      </c>
      <c r="D8" s="1761" t="str">
        <f>IF(Adversarial, "", Work!$B$8)</f>
        <v/>
      </c>
      <c r="E8" s="622" t="str">
        <f>Work!$AE$8</f>
        <v>n/a</v>
      </c>
      <c r="F8" s="622" t="str">
        <f>IF(Adversarial, "n/a",  Work!$L$8)</f>
        <v>n/a</v>
      </c>
      <c r="G8" s="622" t="str">
        <f>IF(Adversarial, "n/a", Work!$M$8)</f>
        <v>n/a</v>
      </c>
      <c r="H8" s="1764" t="str">
        <f>Work!$N$8</f>
        <v>Yes</v>
      </c>
      <c r="I8" s="896" t="str">
        <f>Work!$X$8</f>
        <v>N/A</v>
      </c>
      <c r="J8" s="1738" t="str">
        <f>Work!$Y$8</f>
        <v>N/A</v>
      </c>
      <c r="K8" s="4" t="str">
        <f>Work!$AF$8</f>
        <v>Expected    (80-95+, High)</v>
      </c>
      <c r="L8" s="896">
        <f>Work!$AG$8</f>
        <v>88</v>
      </c>
      <c r="M8" s="4">
        <f>Work!$AY$8</f>
        <v>0</v>
      </c>
      <c r="N8" s="4" t="str">
        <f>Work!$AZ$8</f>
        <v>n/a</v>
      </c>
      <c r="O8" s="896" t="str">
        <f>Work!$AJ$8</f>
        <v>Experience with known nation state attackers.</v>
      </c>
      <c r="P8" s="4" t="str">
        <f>Work!AK8</f>
        <v>21-79+  (Moderate)</v>
      </c>
      <c r="Q8" s="896">
        <f>Work!AL8</f>
        <v>51</v>
      </c>
      <c r="R8" s="896" t="str">
        <f>Work!$AN$8</f>
        <v>TECHNICAL</v>
      </c>
      <c r="S8" s="4" t="str">
        <f>Work!$AO$8</f>
        <v>Allocation of specific security functionality to common controls (Architectural )</v>
      </c>
      <c r="T8" s="108" t="str">
        <f>Work!$AP$8</f>
        <v>21-79+  (Moderate)</v>
      </c>
      <c r="U8" s="896">
        <f>Work!$AQ$8</f>
        <v>51</v>
      </c>
      <c r="V8" s="4" t="str">
        <f>Work!$AK$8</f>
        <v>21-79+  (Moderate)</v>
      </c>
      <c r="W8" s="896">
        <f>Work!$AL$8</f>
        <v>51</v>
      </c>
      <c r="X8" s="11" t="str">
        <f>Work!$AP$8</f>
        <v>21-79+  (Moderate)</v>
      </c>
      <c r="Y8" s="11">
        <f>Work!$AQ$8</f>
        <v>51</v>
      </c>
      <c r="Z8" s="4" t="str">
        <f>Work!BA8</f>
        <v>80-95+  (High)</v>
      </c>
      <c r="AA8" s="4">
        <f>Work!BB8</f>
        <v>88</v>
      </c>
      <c r="AB8" s="4" t="str">
        <f>Work!BE8</f>
        <v>Moderate</v>
      </c>
      <c r="AC8" s="4">
        <f>Work!$BF$8</f>
        <v>69.400000000000006</v>
      </c>
      <c r="AD8" s="896" t="str">
        <f>Work!$BI$8</f>
        <v>HARM TO OPERATIONS</v>
      </c>
      <c r="AE8" s="4" t="str">
        <f>Work!$BJ$8</f>
        <v>Harms (e.g., financial costs, sanctions) due to noncompliance. - 
With applicable laws or regulations.</v>
      </c>
      <c r="AF8" s="4" t="str">
        <f>Work!$BK$8</f>
        <v>21-79+  (Moderate)</v>
      </c>
      <c r="AG8" s="4">
        <f>Work!$BL$8</f>
        <v>51</v>
      </c>
      <c r="AH8" s="4" t="str">
        <f>Work!$BO$8</f>
        <v>Moderate</v>
      </c>
      <c r="AI8" s="11">
        <f>Work!$BP$8</f>
        <v>65</v>
      </c>
      <c r="AJ8" s="896" t="str">
        <f>Work!BQ8</f>
        <v>Moderate</v>
      </c>
    </row>
    <row r="9" spans="2:38" ht="15" thickTop="1"/>
    <row r="12" spans="2:38">
      <c r="G12" t="s">
        <v>1999</v>
      </c>
    </row>
    <row r="16" spans="2:38">
      <c r="O16" s="23"/>
    </row>
    <row r="24" spans="19:19" s="129" customFormat="1" ht="18.45">
      <c r="S24" s="1737"/>
    </row>
    <row r="28" spans="19:19" s="129" customFormat="1"/>
    <row r="32" spans="19:19" s="129" customFormat="1"/>
  </sheetData>
  <mergeCells count="23">
    <mergeCell ref="C2:AJ2"/>
    <mergeCell ref="Z4:AA4"/>
    <mergeCell ref="AB4:AC4"/>
    <mergeCell ref="X5:Y5"/>
    <mergeCell ref="X4:Y4"/>
    <mergeCell ref="V4:W5"/>
    <mergeCell ref="V3:Y3"/>
    <mergeCell ref="Z5:AA5"/>
    <mergeCell ref="AB5:AC5"/>
    <mergeCell ref="O4:Q4"/>
    <mergeCell ref="P5:Q5"/>
    <mergeCell ref="R4:S5"/>
    <mergeCell ref="O3:U3"/>
    <mergeCell ref="AI5:AJ5"/>
    <mergeCell ref="AD3:AJ3"/>
    <mergeCell ref="AH4:AJ4"/>
    <mergeCell ref="K5:K6"/>
    <mergeCell ref="T4:U5"/>
    <mergeCell ref="F5:H5"/>
    <mergeCell ref="F4:H4"/>
    <mergeCell ref="F3:H3"/>
    <mergeCell ref="I3:J3"/>
    <mergeCell ref="I4:J5"/>
  </mergeCells>
  <conditionalFormatting sqref="J6 I3:I4">
    <cfRule type="expression" dxfId="50" priority="65">
      <formula>SmeRatingD6</formula>
    </cfRule>
  </conditionalFormatting>
  <conditionalFormatting sqref="I6:J6 I3:I4">
    <cfRule type="expression" dxfId="49" priority="63">
      <formula>Adversarial</formula>
    </cfRule>
  </conditionalFormatting>
  <conditionalFormatting sqref="M4:M5">
    <cfRule type="expression" dxfId="48" priority="49">
      <formula>SmeRatingD3</formula>
    </cfRule>
  </conditionalFormatting>
  <conditionalFormatting sqref="N6">
    <cfRule type="expression" dxfId="47" priority="55">
      <formula>SmeRatingD3</formula>
    </cfRule>
  </conditionalFormatting>
  <conditionalFormatting sqref="M4:N6">
    <cfRule type="expression" dxfId="46" priority="47">
      <formula>Adversarial</formula>
    </cfRule>
  </conditionalFormatting>
  <conditionalFormatting sqref="M4:N5">
    <cfRule type="expression" dxfId="45" priority="48">
      <formula>SmeRatingG3</formula>
    </cfRule>
  </conditionalFormatting>
  <conditionalFormatting sqref="T4">
    <cfRule type="expression" dxfId="44" priority="36">
      <formula>SmeRatingDTF5</formula>
    </cfRule>
  </conditionalFormatting>
  <conditionalFormatting sqref="T4">
    <cfRule type="expression" dxfId="43" priority="40">
      <formula>SmeRatingD3</formula>
    </cfRule>
  </conditionalFormatting>
  <conditionalFormatting sqref="U7">
    <cfRule type="expression" dxfId="42" priority="39">
      <formula>SmeRatingDTF5</formula>
    </cfRule>
    <cfRule type="expression" dxfId="41" priority="46">
      <formula>SmeRatingD3</formula>
    </cfRule>
  </conditionalFormatting>
  <conditionalFormatting sqref="W6">
    <cfRule type="expression" dxfId="40" priority="35">
      <formula>SmeRatingDTF2</formula>
    </cfRule>
  </conditionalFormatting>
  <conditionalFormatting sqref="X5">
    <cfRule type="expression" dxfId="39" priority="23">
      <formula>SmeRatingD3</formula>
    </cfRule>
  </conditionalFormatting>
  <conditionalFormatting sqref="Y7">
    <cfRule type="expression" dxfId="38" priority="22">
      <formula>SmeRatingDTF5</formula>
    </cfRule>
    <cfRule type="expression" dxfId="37" priority="29">
      <formula>SmeRatingD3</formula>
    </cfRule>
  </conditionalFormatting>
  <conditionalFormatting sqref="X5:Y5">
    <cfRule type="expression" dxfId="36" priority="21">
      <formula>SmeRatingDTF5</formula>
    </cfRule>
  </conditionalFormatting>
  <conditionalFormatting sqref="AJ7">
    <cfRule type="expression" dxfId="35" priority="13">
      <formula>SmeRatingD3</formula>
    </cfRule>
  </conditionalFormatting>
  <conditionalFormatting sqref="AI5">
    <cfRule type="expression" dxfId="34" priority="7">
      <formula>SmeRatingI3</formula>
    </cfRule>
  </conditionalFormatting>
  <conditionalFormatting sqref="U6">
    <cfRule type="expression" dxfId="33" priority="5">
      <formula>SmeRatingDTF5</formula>
    </cfRule>
    <cfRule type="expression" dxfId="32" priority="6">
      <formula>SmeRatingD3</formula>
    </cfRule>
  </conditionalFormatting>
  <conditionalFormatting sqref="Y6">
    <cfRule type="expression" dxfId="31" priority="3">
      <formula>SmeRatingDTF5</formula>
    </cfRule>
    <cfRule type="expression" dxfId="30" priority="4">
      <formula>SmeRatingD3</formula>
    </cfRule>
  </conditionalFormatting>
  <conditionalFormatting sqref="AI6">
    <cfRule type="expression" dxfId="29" priority="2">
      <formula>SmeRatingD3</formula>
    </cfRule>
  </conditionalFormatting>
  <conditionalFormatting sqref="AJ6">
    <cfRule type="expression" dxfId="28" priority="1">
      <formula>SmeRatingD3</formula>
    </cfRule>
  </conditionalFormatting>
  <pageMargins left="0.7" right="0.7" top="0.75" bottom="0.75" header="0.3" footer="0.3"/>
  <pageSetup orientation="portrait" verticalDpi="0"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B3:J21"/>
  <sheetViews>
    <sheetView workbookViewId="0"/>
  </sheetViews>
  <sheetFormatPr defaultRowHeight="14.6"/>
  <cols>
    <col min="2" max="2" width="10.15234375" customWidth="1"/>
    <col min="3" max="3" width="31.3046875" customWidth="1"/>
    <col min="4" max="4" width="36.69140625" customWidth="1"/>
    <col min="6" max="6" width="40.69140625" customWidth="1"/>
    <col min="7" max="7" width="10.53515625" customWidth="1"/>
    <col min="8" max="8" width="18.15234375" customWidth="1"/>
  </cols>
  <sheetData>
    <row r="3" spans="2:10">
      <c r="D3" t="s">
        <v>161</v>
      </c>
      <c r="F3" t="s">
        <v>162</v>
      </c>
    </row>
    <row r="4" spans="2:10" ht="15" thickBot="1"/>
    <row r="5" spans="2:10" ht="15.45" thickTop="1" thickBot="1">
      <c r="B5" s="88"/>
      <c r="C5" s="78" t="s">
        <v>160</v>
      </c>
      <c r="D5" s="80" t="str">
        <f>IF(D8_Error,"Correct Error Using  Tab Z1a","")</f>
        <v/>
      </c>
      <c r="E5" s="79"/>
      <c r="F5" s="87" t="str">
        <f>IF(D6_d8,"Error","")</f>
        <v/>
      </c>
    </row>
    <row r="6" spans="2:10" ht="15.45" thickTop="1" thickBot="1">
      <c r="B6" s="88"/>
      <c r="C6" s="77" t="s">
        <v>157</v>
      </c>
      <c r="E6" s="73" t="s">
        <v>153</v>
      </c>
      <c r="F6" s="73" t="s">
        <v>158</v>
      </c>
    </row>
    <row r="7" spans="2:10" ht="15.45" thickTop="1" thickBot="1">
      <c r="B7" s="88"/>
      <c r="C7" s="89" t="str">
        <f>Work!L8</f>
        <v>Adversarial</v>
      </c>
      <c r="D7" s="74" t="str">
        <f>Work!M8</f>
        <v>Organization Definition #1 (Extra )</v>
      </c>
      <c r="E7" s="11" t="b">
        <v>0</v>
      </c>
      <c r="F7" s="53" t="str">
        <f>Work!Y8</f>
        <v>N/A</v>
      </c>
    </row>
    <row r="8" spans="2:10" ht="15" thickTop="1"/>
    <row r="12" spans="2:10">
      <c r="F12" t="s">
        <v>159</v>
      </c>
      <c r="I12" t="s">
        <v>163</v>
      </c>
    </row>
    <row r="13" spans="2:10">
      <c r="F13">
        <f>IFERROR(SEARCH("Error",Work!$L$7),0)</f>
        <v>0</v>
      </c>
    </row>
    <row r="14" spans="2:10">
      <c r="F14" t="s">
        <v>167</v>
      </c>
      <c r="I14" t="s">
        <v>165</v>
      </c>
      <c r="J14" t="s">
        <v>166</v>
      </c>
    </row>
    <row r="17" spans="6:6">
      <c r="F17" t="s">
        <v>162</v>
      </c>
    </row>
    <row r="18" spans="6:6">
      <c r="F18">
        <f>IFERROR(SEARCH("Error",Work!$X$6),0)</f>
        <v>0</v>
      </c>
    </row>
    <row r="19" spans="6:6">
      <c r="F19" t="s">
        <v>164</v>
      </c>
    </row>
    <row r="21" spans="6:6">
      <c r="F21" t="b">
        <f>OR(D2_d8, D6_d8)</f>
        <v>0</v>
      </c>
    </row>
  </sheetData>
  <conditionalFormatting sqref="F5">
    <cfRule type="expression" dxfId="27" priority="14">
      <formula>D6_d8</formula>
    </cfRule>
  </conditionalFormatting>
  <conditionalFormatting sqref="F7">
    <cfRule type="expression" dxfId="26" priority="15">
      <formula>D6_d8</formula>
    </cfRule>
  </conditionalFormatting>
  <conditionalFormatting sqref="D5">
    <cfRule type="expression" dxfId="25" priority="1">
      <formula>D8_Error</formula>
    </cfRule>
  </conditionalFormatting>
  <conditionalFormatting sqref="D7">
    <cfRule type="expression" dxfId="24" priority="10">
      <formula>D2_d8</formula>
    </cfRule>
  </conditionalFormatting>
  <dataValidations count="3">
    <dataValidation type="list" allowBlank="1" showInputMessage="1" showErrorMessage="1" sqref="B15" xr:uid="{00000000-0002-0000-2B00-000000000000}">
      <formula1>$B$14:$B$15</formula1>
    </dataValidation>
    <dataValidation type="list" allowBlank="1" showInputMessage="1" showErrorMessage="1" sqref="E15" xr:uid="{00000000-0002-0000-2B00-000001000000}">
      <formula1>$E$13:$E$14</formula1>
    </dataValidation>
    <dataValidation type="list" allowBlank="1" showInputMessage="1" showErrorMessage="1" sqref="B7 E7" xr:uid="{00000000-0002-0000-2B00-000002000000}">
      <formula1>#REF!</formula1>
    </dataValidation>
  </dataValidations>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Z24"/>
  <sheetViews>
    <sheetView workbookViewId="0"/>
  </sheetViews>
  <sheetFormatPr defaultRowHeight="14.6"/>
  <cols>
    <col min="2" max="2" width="10.69140625" customWidth="1"/>
    <col min="3" max="7" width="24.69140625" customWidth="1"/>
    <col min="8" max="10" width="20.69140625" customWidth="1"/>
    <col min="11" max="11" width="157.15234375" customWidth="1"/>
    <col min="12" max="13" width="20.69140625" customWidth="1"/>
    <col min="14" max="16" width="24.69140625" customWidth="1"/>
    <col min="26" max="26" width="19" customWidth="1"/>
  </cols>
  <sheetData>
    <row r="1" spans="2:26" ht="15" thickBot="1"/>
    <row r="2" spans="2:26" ht="76.5" customHeight="1" thickTop="1">
      <c r="C2" s="2271" t="str">
        <f>VLOOKUP($C$7,$C$17:$G$22,5,FALSE)</f>
        <v>Description: If the threat event is initiated or occurs, it is highly unlikely to have adverse impacts.</v>
      </c>
      <c r="D2" s="2272"/>
    </row>
    <row r="3" spans="2:26" ht="16.5" customHeight="1">
      <c r="C3" s="2273"/>
      <c r="D3" s="2274"/>
    </row>
    <row r="4" spans="2:26">
      <c r="C4" s="2275"/>
      <c r="D4" s="2276"/>
    </row>
    <row r="5" spans="2:26">
      <c r="C5" s="2277" t="str">
        <f>IF(SME_Rating_D3,"D3_Error: Click for Mean Value or Redo SME Rating","")</f>
        <v/>
      </c>
      <c r="D5" s="2278"/>
      <c r="E5" s="6"/>
      <c r="H5" s="31"/>
    </row>
    <row r="6" spans="2:26" ht="15" thickBot="1">
      <c r="C6" s="44" t="s">
        <v>133</v>
      </c>
      <c r="D6" s="51" t="s">
        <v>135</v>
      </c>
    </row>
    <row r="7" spans="2:26" ht="15.45" thickTop="1" thickBot="1">
      <c r="B7" s="534"/>
      <c r="C7" s="36" t="s">
        <v>131</v>
      </c>
      <c r="D7" s="53">
        <v>3</v>
      </c>
      <c r="E7" s="535"/>
    </row>
    <row r="8" spans="2:26" ht="15" thickTop="1"/>
    <row r="9" spans="2:26">
      <c r="Z9" s="23"/>
    </row>
    <row r="10" spans="2:26">
      <c r="Z10" s="43"/>
    </row>
    <row r="15" spans="2:26" ht="15" thickBot="1"/>
    <row r="16" spans="2:26" ht="15.45" thickTop="1" thickBot="1">
      <c r="C16" s="61" t="s">
        <v>48</v>
      </c>
      <c r="D16" s="62" t="s">
        <v>103</v>
      </c>
      <c r="E16" s="62" t="s">
        <v>104</v>
      </c>
      <c r="F16" s="62" t="s">
        <v>117</v>
      </c>
      <c r="G16" s="55" t="s">
        <v>102</v>
      </c>
      <c r="H16" s="64"/>
      <c r="I16" s="64"/>
      <c r="J16" s="64"/>
      <c r="K16" s="22"/>
      <c r="Z16" s="631" t="s">
        <v>1092</v>
      </c>
    </row>
    <row r="17" spans="1:26" ht="15.9" thickTop="1" thickBot="1">
      <c r="A17" s="23"/>
      <c r="B17" s="38"/>
      <c r="C17" s="39" t="s">
        <v>181</v>
      </c>
      <c r="D17" s="21">
        <v>-3</v>
      </c>
      <c r="E17" s="21">
        <v>-1</v>
      </c>
      <c r="F17" s="21">
        <v>-2</v>
      </c>
      <c r="G17" s="37" t="s">
        <v>127</v>
      </c>
      <c r="H17" s="49"/>
      <c r="I17" s="49"/>
      <c r="J17" s="49"/>
      <c r="K17" s="57"/>
      <c r="Y17" s="532" t="s">
        <v>1091</v>
      </c>
      <c r="Z17" s="169">
        <f>IF( (Work!$BA$8='G2'!$C$17 ),"n/a",VALUE(CONCATENATE("0",IF(Work!$BA$8='G2'!$C$18,3,""),IF(Work!$BA$8='G2'!$C$19,13,""),IF(Work!$BA$8='G2'!$C$20,51,""),IF(Work!$BA$8='G2'!$C$21,88,""),IF(Work!$BA$8='G2'!$C$22,98,""))))</f>
        <v>88</v>
      </c>
    </row>
    <row r="18" spans="1:26" ht="15.9" thickTop="1" thickBot="1">
      <c r="A18" s="23"/>
      <c r="B18" s="38"/>
      <c r="C18" s="41" t="s">
        <v>131</v>
      </c>
      <c r="D18" s="42">
        <v>0</v>
      </c>
      <c r="E18" s="42">
        <v>5</v>
      </c>
      <c r="F18" s="42">
        <v>3</v>
      </c>
      <c r="G18" s="58" t="s">
        <v>947</v>
      </c>
      <c r="H18" s="65"/>
      <c r="I18" s="66"/>
      <c r="J18" s="66"/>
      <c r="K18" s="67"/>
      <c r="Z18" s="14"/>
    </row>
    <row r="19" spans="1:26" ht="15.45" thickTop="1">
      <c r="A19" s="23"/>
      <c r="B19" s="38"/>
      <c r="C19" s="40" t="s">
        <v>130</v>
      </c>
      <c r="D19" s="20">
        <v>5</v>
      </c>
      <c r="E19" s="20">
        <v>21</v>
      </c>
      <c r="F19" s="20">
        <v>13</v>
      </c>
      <c r="G19" s="46" t="s">
        <v>948</v>
      </c>
      <c r="H19" s="49"/>
      <c r="I19" s="49"/>
      <c r="J19" s="49"/>
      <c r="K19" s="57"/>
    </row>
    <row r="20" spans="1:26" ht="15">
      <c r="A20" s="23"/>
      <c r="B20" s="38"/>
      <c r="C20" s="40" t="s">
        <v>129</v>
      </c>
      <c r="D20" s="20">
        <v>21</v>
      </c>
      <c r="E20" s="20">
        <v>80</v>
      </c>
      <c r="F20" s="20">
        <v>51</v>
      </c>
      <c r="G20" s="46" t="s">
        <v>949</v>
      </c>
      <c r="H20" s="49"/>
      <c r="I20" s="49"/>
      <c r="J20" s="49"/>
      <c r="K20" s="57"/>
    </row>
    <row r="21" spans="1:26" ht="15.45" thickBot="1">
      <c r="A21" s="23"/>
      <c r="B21" s="38"/>
      <c r="C21" s="40" t="s">
        <v>128</v>
      </c>
      <c r="D21" s="20">
        <v>80</v>
      </c>
      <c r="E21" s="20">
        <v>96</v>
      </c>
      <c r="F21" s="20">
        <v>88</v>
      </c>
      <c r="G21" s="59" t="s">
        <v>950</v>
      </c>
      <c r="H21" s="49"/>
      <c r="I21" s="49"/>
      <c r="J21" s="49"/>
      <c r="K21" s="57"/>
    </row>
    <row r="22" spans="1:26" ht="15.9" thickTop="1" thickBot="1">
      <c r="A22" s="23"/>
      <c r="B22" s="38"/>
      <c r="C22" s="63" t="s">
        <v>145</v>
      </c>
      <c r="D22" s="4">
        <v>96</v>
      </c>
      <c r="E22" s="4">
        <v>100</v>
      </c>
      <c r="F22" s="4">
        <v>98</v>
      </c>
      <c r="G22" s="47" t="s">
        <v>951</v>
      </c>
      <c r="H22" s="50"/>
      <c r="I22" s="50"/>
      <c r="J22" s="50"/>
      <c r="K22" s="60"/>
    </row>
    <row r="23" spans="1:26" ht="15.9" thickTop="1" thickBot="1">
      <c r="A23" s="23"/>
      <c r="B23" s="38"/>
      <c r="C23" s="63"/>
      <c r="D23" s="4"/>
      <c r="E23" s="4"/>
      <c r="F23" s="4"/>
      <c r="G23" s="895"/>
      <c r="H23" s="895"/>
      <c r="I23" s="895"/>
      <c r="J23" s="895"/>
      <c r="K23" s="74"/>
    </row>
    <row r="24" spans="1:26" ht="15" thickTop="1"/>
  </sheetData>
  <mergeCells count="2">
    <mergeCell ref="C2:D4"/>
    <mergeCell ref="C5:D5"/>
  </mergeCells>
  <conditionalFormatting sqref="D6:D7">
    <cfRule type="expression" dxfId="23" priority="16">
      <formula>SME_Rating_D3</formula>
    </cfRule>
  </conditionalFormatting>
  <conditionalFormatting sqref="C5:D5">
    <cfRule type="expression" dxfId="22" priority="15">
      <formula>SME_Rating_D3</formula>
    </cfRule>
  </conditionalFormatting>
  <dataValidations count="4">
    <dataValidation type="list" allowBlank="1" showErrorMessage="1" sqref="C7" xr:uid="{00000000-0002-0000-2C00-000000000000}">
      <formula1>C17:C22</formula1>
    </dataValidation>
    <dataValidation type="list" allowBlank="1" showErrorMessage="1" sqref="M7" xr:uid="{00000000-0002-0000-2C00-000001000000}">
      <formula1>$C$17:$C$22</formula1>
    </dataValidation>
    <dataValidation type="list" allowBlank="1" sqref="N7" xr:uid="{00000000-0002-0000-2C00-000002000000}">
      <formula1>#REF!</formula1>
    </dataValidation>
    <dataValidation type="list" allowBlank="1" showInputMessage="1" sqref="D7" xr:uid="{00000000-0002-0000-2C00-000003000000}">
      <formula1>$M$60</formula1>
    </dataValidation>
  </dataValidations>
  <pageMargins left="0.7" right="0.7" top="0.75" bottom="0.75" header="0.3" footer="0.3"/>
  <pageSetup orientation="portrait" verticalDpi="0" r:id="rId1"/>
  <drawing r:id="rId2"/>
  <legacyDrawing r:id="rId3"/>
  <extLst>
    <ext xmlns:x14="http://schemas.microsoft.com/office/spreadsheetml/2009/9/main" uri="{78C0D931-6437-407d-A8EE-F0AAD7539E65}">
      <x14:conditionalFormattings>
        <x14:conditionalFormatting xmlns:xm="http://schemas.microsoft.com/office/excel/2006/main">
          <x14:cfRule type="containsText" priority="2" operator="containsText" text="(Low)" id="{960FDB33-934D-47EF-AC1E-73D266129308}">
            <xm:f>NOT(ISERROR(SEARCH("(Low)",'D3'!C7)))</xm:f>
            <x14:dxf>
              <font>
                <b/>
                <i val="0"/>
              </font>
              <fill>
                <patternFill>
                  <bgColor theme="9" tint="0.59996337778862885"/>
                </patternFill>
              </fill>
            </x14:dxf>
          </x14:cfRule>
          <x14:cfRule type="containsText" priority="3" operator="containsText" text="Moderate" id="{DF5BFCC7-3DCF-44ED-9F34-0972B480F8E2}">
            <xm:f>NOT(ISERROR(SEARCH("Moderate",'D3'!C7)))</xm:f>
            <x14:dxf>
              <font>
                <b/>
                <i val="0"/>
              </font>
              <fill>
                <patternFill>
                  <bgColor rgb="FFFFFF00"/>
                </patternFill>
              </fill>
            </x14:dxf>
          </x14:cfRule>
          <x14:cfRule type="containsText" priority="4" operator="containsText" text="(High)" id="{46F3A0FC-8A0F-4001-B72B-4CFFFD101A0D}">
            <xm:f>NOT(ISERROR(SEARCH("(High)",'D3'!C7)))</xm:f>
            <x14:dxf>
              <font>
                <b/>
                <i val="0"/>
              </font>
              <fill>
                <patternFill>
                  <bgColor rgb="FFFF7C80"/>
                </patternFill>
              </fill>
            </x14:dxf>
          </x14:cfRule>
          <x14:cfRule type="containsText" priority="5" operator="containsText" text="(Very High)" id="{6121A39D-0AEC-4485-8885-6B613CB0B2D2}">
            <xm:f>NOT(ISERROR(SEARCH("(Very High)",'D3'!C7)))</xm:f>
            <x14:dxf>
              <font>
                <b/>
                <i val="0"/>
              </font>
              <fill>
                <patternFill>
                  <bgColor rgb="FFFF0000"/>
                </patternFill>
              </fill>
            </x14:dxf>
          </x14:cfRule>
          <x14:cfRule type="containsText" priority="17" operator="containsText" text="(Very Low)" id="{EF1C2F48-2F94-4F5A-816A-352F9EE0945B}">
            <xm:f>NOT(ISERROR(SEARCH("(Very Low)",'D3'!C7)))</xm:f>
            <x14:dxf>
              <font>
                <b/>
                <i val="0"/>
              </font>
              <fill>
                <patternFill>
                  <bgColor rgb="FF92D050"/>
                </patternFill>
              </fill>
            </x14:dxf>
          </x14:cfRule>
          <xm:sqref>C7</xm:sqref>
        </x14:conditionalFormatting>
        <x14:conditionalFormatting xmlns:xm="http://schemas.microsoft.com/office/excel/2006/main">
          <x14:cfRule type="expression" priority="2477" id="{76415784-4805-4EC3-B88F-16E3A0FFA65F}">
            <xm:f>OR(AND(IF('D3'!$C$7='D3'!$C$31,1,0),OR(IF('D3'!$D$7&lt;'D3'!$D$31,1,0),IF('D3'!$D$7&gt;='D3'!$E$31,1,0))),  AND(IF('D3'!$C$7='D3'!$C$32,1,0),OR(IF('D3'!$D$7&lt;'D3'!$D$32,1,0),IF('D3'!$D$7&gt;='D3'!$E$32,1,0))),  AND(IF('D3'!$C$7='D3'!$C$33,1,0),OR(IF('D3'!$D$7&lt;'D3'!$D$33,1,0),IF('D3'!$D$7&gt;='D3'!$E$33,1,0))),  AND(IF('D3'!$C$7='D3'!$C$34,1,0),OR(IF('D3'!$D$7&lt;'D3'!$D$34,1,0),IF('D3'!$D$7&gt;='D3'!$E$34,1,0))),  AND(IF('D3'!$C$7='D3'!$C$35,1,0),OR(IF('D3'!$D$7&lt;'D3'!$D$35,1,0),IF('D3'!$D$7&gt;'D3'!$E$35&gt;'D3'!#REF!,1,0))))</xm:f>
            <x14:dxf>
              <font>
                <b/>
                <i val="0"/>
                <strike val="0"/>
                <color rgb="FFC00000"/>
              </font>
              <fill>
                <patternFill>
                  <bgColor rgb="FFFFC000"/>
                </patternFill>
              </fill>
            </x14:dxf>
          </x14:cfRule>
          <xm:sqref>D7</xm:sqref>
        </x14:conditionalFormatting>
      </x14:conditionalFormattings>
    </ext>
  </extLst>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B4:I62"/>
  <sheetViews>
    <sheetView workbookViewId="0"/>
  </sheetViews>
  <sheetFormatPr defaultRowHeight="14.6"/>
  <cols>
    <col min="2" max="2" width="40.69140625" customWidth="1"/>
    <col min="3" max="3" width="41.15234375" style="620" customWidth="1"/>
    <col min="4" max="4" width="90.69140625" customWidth="1"/>
    <col min="5" max="5" width="54.69140625" customWidth="1"/>
    <col min="6" max="6" width="40.69140625" customWidth="1"/>
    <col min="7" max="7" width="74.69140625" customWidth="1"/>
    <col min="8" max="8" width="81" customWidth="1"/>
    <col min="9" max="9" width="80.69140625" customWidth="1"/>
  </cols>
  <sheetData>
    <row r="4" spans="2:4" ht="15" thickBot="1"/>
    <row r="5" spans="2:4" ht="15.45" thickTop="1" thickBot="1">
      <c r="C5" s="2510" t="s">
        <v>994</v>
      </c>
      <c r="D5" s="2511"/>
    </row>
    <row r="6" spans="2:4" ht="15.45" thickTop="1" thickBot="1">
      <c r="C6" s="624" t="s">
        <v>993</v>
      </c>
      <c r="D6" s="73" t="s">
        <v>995</v>
      </c>
    </row>
    <row r="7" spans="2:4" ht="15.45" thickTop="1" thickBot="1">
      <c r="C7" s="623"/>
      <c r="D7" s="11" t="s">
        <v>996</v>
      </c>
    </row>
    <row r="8" spans="2:4" ht="15" thickTop="1"/>
    <row r="9" spans="2:4" ht="15" thickBot="1"/>
    <row r="10" spans="2:4" ht="19.3" thickTop="1" thickBot="1">
      <c r="B10" s="628" t="s">
        <v>993</v>
      </c>
    </row>
    <row r="11" spans="2:4" ht="18.899999999999999" thickTop="1">
      <c r="B11" s="625" t="s">
        <v>349</v>
      </c>
    </row>
    <row r="12" spans="2:4" ht="18.45">
      <c r="B12" s="626" t="s">
        <v>460</v>
      </c>
    </row>
    <row r="13" spans="2:4" ht="18.45">
      <c r="B13" s="626" t="s">
        <v>495</v>
      </c>
    </row>
    <row r="14" spans="2:4" ht="18.45">
      <c r="B14" s="626" t="s">
        <v>520</v>
      </c>
    </row>
    <row r="15" spans="2:4" ht="18.45">
      <c r="B15" s="901" t="s">
        <v>547</v>
      </c>
    </row>
    <row r="16" spans="2:4" ht="18.899999999999999" thickBot="1">
      <c r="B16" s="627" t="s">
        <v>1279</v>
      </c>
    </row>
    <row r="17" ht="15" thickTop="1"/>
    <row r="35" spans="3:9" ht="13.5" customHeight="1"/>
    <row r="38" spans="3:9">
      <c r="D38" s="38"/>
    </row>
    <row r="41" spans="3:9" ht="15" thickBot="1">
      <c r="C41" s="535"/>
      <c r="D41" s="524" t="s">
        <v>1274</v>
      </c>
      <c r="E41" s="524" t="s">
        <v>985</v>
      </c>
      <c r="F41" s="524" t="s">
        <v>986</v>
      </c>
      <c r="G41" s="524" t="s">
        <v>987</v>
      </c>
      <c r="H41" s="524" t="s">
        <v>1275</v>
      </c>
      <c r="I41" s="524" t="s">
        <v>1289</v>
      </c>
    </row>
    <row r="42" spans="3:9" s="619" customFormat="1" ht="19.3" thickTop="1" thickBot="1">
      <c r="C42" s="621"/>
      <c r="D42" s="618" t="s">
        <v>349</v>
      </c>
      <c r="E42" s="618" t="s">
        <v>460</v>
      </c>
      <c r="F42" s="618" t="s">
        <v>495</v>
      </c>
      <c r="G42" s="618" t="s">
        <v>520</v>
      </c>
      <c r="H42" s="618" t="s">
        <v>547</v>
      </c>
      <c r="I42" s="618" t="s">
        <v>1279</v>
      </c>
    </row>
    <row r="43" spans="3:9" ht="30.45" thickTop="1">
      <c r="C43" s="621"/>
      <c r="D43" s="617" t="s">
        <v>965</v>
      </c>
      <c r="E43" s="94" t="s">
        <v>956</v>
      </c>
      <c r="F43" s="94" t="s">
        <v>960</v>
      </c>
      <c r="G43" s="617" t="s">
        <v>976</v>
      </c>
      <c r="H43" s="94" t="s">
        <v>980</v>
      </c>
      <c r="I43" s="902" t="s">
        <v>1279</v>
      </c>
    </row>
    <row r="44" spans="3:9" ht="29.15">
      <c r="D44" s="617" t="s">
        <v>966</v>
      </c>
      <c r="E44" s="94" t="s">
        <v>271</v>
      </c>
      <c r="F44" s="94" t="s">
        <v>961</v>
      </c>
      <c r="G44" s="617" t="s">
        <v>977</v>
      </c>
      <c r="H44" s="94" t="s">
        <v>981</v>
      </c>
      <c r="I44" s="94"/>
    </row>
    <row r="45" spans="3:9" ht="29.15">
      <c r="D45" s="617" t="s">
        <v>967</v>
      </c>
      <c r="E45" s="94" t="s">
        <v>957</v>
      </c>
      <c r="F45" s="94" t="s">
        <v>962</v>
      </c>
      <c r="G45" s="94" t="s">
        <v>955</v>
      </c>
      <c r="H45" s="617" t="s">
        <v>982</v>
      </c>
      <c r="I45" s="617"/>
    </row>
    <row r="46" spans="3:9" ht="29.15">
      <c r="D46" s="617" t="s">
        <v>968</v>
      </c>
      <c r="E46" s="94" t="s">
        <v>958</v>
      </c>
      <c r="F46" s="94" t="s">
        <v>963</v>
      </c>
      <c r="G46" s="617" t="s">
        <v>978</v>
      </c>
      <c r="H46" s="617" t="s">
        <v>983</v>
      </c>
      <c r="I46" s="617"/>
    </row>
    <row r="47" spans="3:9" ht="29.15">
      <c r="D47" s="617" t="s">
        <v>969</v>
      </c>
      <c r="E47" s="94" t="s">
        <v>959</v>
      </c>
      <c r="F47" s="94" t="s">
        <v>964</v>
      </c>
      <c r="G47" s="617" t="s">
        <v>979</v>
      </c>
      <c r="H47" s="617" t="s">
        <v>984</v>
      </c>
      <c r="I47" s="617"/>
    </row>
    <row r="48" spans="3:9" ht="29.15">
      <c r="D48" s="617" t="s">
        <v>970</v>
      </c>
      <c r="E48" s="94" t="s">
        <v>270</v>
      </c>
      <c r="F48" s="94"/>
      <c r="G48" s="94"/>
      <c r="H48" s="94"/>
      <c r="I48" s="94"/>
    </row>
    <row r="49" spans="4:9" ht="29.15">
      <c r="D49" s="617" t="s">
        <v>971</v>
      </c>
      <c r="E49" s="94"/>
      <c r="F49" s="94"/>
      <c r="G49" s="94"/>
      <c r="H49" s="94"/>
      <c r="I49" s="94"/>
    </row>
    <row r="50" spans="4:9" ht="29.15">
      <c r="D50" s="617" t="s">
        <v>972</v>
      </c>
      <c r="E50" s="94"/>
      <c r="F50" s="94"/>
      <c r="G50" s="94"/>
      <c r="H50" s="94"/>
      <c r="I50" s="94"/>
    </row>
    <row r="51" spans="4:9" ht="29.15">
      <c r="D51" s="617" t="s">
        <v>973</v>
      </c>
      <c r="E51" s="94"/>
      <c r="F51" s="94"/>
      <c r="G51" s="94"/>
      <c r="H51" s="94"/>
      <c r="I51" s="94"/>
    </row>
    <row r="52" spans="4:9">
      <c r="D52" s="94" t="s">
        <v>955</v>
      </c>
      <c r="E52" s="94"/>
      <c r="F52" s="94"/>
      <c r="G52" s="94"/>
      <c r="H52" s="94"/>
      <c r="I52" s="94"/>
    </row>
    <row r="53" spans="4:9" ht="29.15">
      <c r="D53" s="617" t="s">
        <v>974</v>
      </c>
      <c r="E53" s="94"/>
      <c r="F53" s="94"/>
      <c r="G53" s="94"/>
      <c r="H53" s="94"/>
      <c r="I53" s="94"/>
    </row>
    <row r="54" spans="4:9" ht="29.15">
      <c r="D54" s="617" t="s">
        <v>975</v>
      </c>
      <c r="E54" s="94"/>
      <c r="F54" s="94"/>
      <c r="G54" s="94"/>
      <c r="H54" s="94"/>
      <c r="I54" s="94"/>
    </row>
    <row r="55" spans="4:9">
      <c r="D55" s="94"/>
      <c r="E55" s="94"/>
      <c r="F55" s="94"/>
      <c r="G55" s="94"/>
      <c r="H55" s="94"/>
      <c r="I55" s="94"/>
    </row>
    <row r="56" spans="4:9">
      <c r="D56" s="94"/>
      <c r="E56" s="94"/>
      <c r="F56" s="94"/>
      <c r="G56" s="94"/>
      <c r="H56" s="94"/>
      <c r="I56" s="94"/>
    </row>
    <row r="57" spans="4:9">
      <c r="D57" s="94"/>
      <c r="E57" s="94"/>
      <c r="F57" s="94"/>
      <c r="G57" s="94"/>
      <c r="H57" s="94"/>
      <c r="I57" s="94"/>
    </row>
    <row r="58" spans="4:9">
      <c r="D58" s="94"/>
      <c r="E58" s="94"/>
      <c r="F58" s="94"/>
      <c r="G58" s="94"/>
      <c r="H58" s="94"/>
      <c r="I58" s="94"/>
    </row>
    <row r="59" spans="4:9">
      <c r="D59" s="94"/>
      <c r="E59" s="94"/>
      <c r="F59" s="94"/>
      <c r="G59" s="94"/>
      <c r="H59" s="94"/>
      <c r="I59" s="94"/>
    </row>
    <row r="60" spans="4:9" ht="15" thickBot="1">
      <c r="D60" s="186"/>
      <c r="E60" s="186"/>
      <c r="F60" s="186"/>
      <c r="G60" s="186"/>
      <c r="H60" s="186"/>
      <c r="I60" s="186"/>
    </row>
    <row r="61" spans="4:9" ht="15" thickTop="1"/>
    <row r="62" spans="4:9" s="23" customFormat="1"/>
  </sheetData>
  <mergeCells count="1">
    <mergeCell ref="C5:D5"/>
  </mergeCells>
  <dataValidations count="2">
    <dataValidation type="list" allowBlank="1" showInputMessage="1" showErrorMessage="1" sqref="D7" xr:uid="{00000000-0002-0000-2D00-000000000000}">
      <formula1>$D$43:$D$60</formula1>
    </dataValidation>
    <dataValidation type="list" allowBlank="1" showInputMessage="1" showErrorMessage="1" sqref="C7" xr:uid="{00000000-0002-0000-2D00-000001000000}">
      <formula1>$B$11:$B$15</formula1>
    </dataValidation>
  </dataValidations>
  <pageMargins left="0.7" right="0.7" top="0.75" bottom="0.75" header="0.3" footer="0.3"/>
  <pageSetup orientation="portrait" verticalDpi="0" r:id="rId1"/>
  <drawing r:id="rId2"/>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1:Z36"/>
  <sheetViews>
    <sheetView workbookViewId="0"/>
  </sheetViews>
  <sheetFormatPr defaultRowHeight="14.6"/>
  <cols>
    <col min="2" max="2" width="10.69140625" customWidth="1"/>
    <col min="3" max="7" width="24.69140625" customWidth="1"/>
    <col min="8" max="10" width="20.69140625" customWidth="1"/>
    <col min="11" max="11" width="157.15234375" customWidth="1"/>
    <col min="12" max="13" width="20.69140625" customWidth="1"/>
    <col min="14" max="16" width="24.69140625" customWidth="1"/>
    <col min="26" max="26" width="19" customWidth="1"/>
  </cols>
  <sheetData>
    <row r="1" spans="2:26" ht="15" thickBot="1"/>
    <row r="2" spans="2:26" ht="76.5" customHeight="1" thickTop="1">
      <c r="C2" s="2271" t="str">
        <f>VLOOKUP($C$7,$C$17:$G$22,5,FALSE)</f>
        <v>Description: The threat event could be expected to have a negligible adverse effect on organizational operations, organizational assets, individuals other organizations, or the Nation.</v>
      </c>
      <c r="D2" s="2272"/>
    </row>
    <row r="3" spans="2:26" ht="16.5" customHeight="1">
      <c r="C3" s="2273"/>
      <c r="D3" s="2274"/>
    </row>
    <row r="4" spans="2:26">
      <c r="C4" s="2275"/>
      <c r="D4" s="2276"/>
    </row>
    <row r="5" spans="2:26">
      <c r="C5" s="2277" t="str">
        <f>IF(SME_Rating_D3,"D3_Error: Click for Mean Value or Redo SME Rating","")</f>
        <v/>
      </c>
      <c r="D5" s="2278"/>
      <c r="E5" s="6"/>
      <c r="H5" s="31"/>
    </row>
    <row r="6" spans="2:26" ht="15" thickBot="1">
      <c r="C6" s="44" t="s">
        <v>133</v>
      </c>
      <c r="D6" s="51" t="s">
        <v>135</v>
      </c>
    </row>
    <row r="7" spans="2:26" ht="15.45" thickTop="1" thickBot="1">
      <c r="B7" s="534"/>
      <c r="C7" s="36" t="s">
        <v>131</v>
      </c>
      <c r="D7" s="53">
        <v>3</v>
      </c>
      <c r="E7" s="535"/>
    </row>
    <row r="8" spans="2:26" ht="15" thickTop="1"/>
    <row r="13" spans="2:26" ht="15" thickBot="1"/>
    <row r="14" spans="2:26" ht="15" thickTop="1">
      <c r="Z14" s="738" t="s">
        <v>1060</v>
      </c>
    </row>
    <row r="15" spans="2:26" ht="15" thickBot="1">
      <c r="Z15" s="739" t="s">
        <v>1061</v>
      </c>
    </row>
    <row r="16" spans="2:26" ht="15.45" thickTop="1" thickBot="1">
      <c r="C16" s="61" t="s">
        <v>48</v>
      </c>
      <c r="D16" s="62" t="s">
        <v>103</v>
      </c>
      <c r="E16" s="62" t="s">
        <v>104</v>
      </c>
      <c r="F16" s="62" t="s">
        <v>117</v>
      </c>
      <c r="G16" s="2518" t="s">
        <v>102</v>
      </c>
      <c r="H16" s="2519"/>
      <c r="I16" s="2519"/>
      <c r="J16" s="2519"/>
      <c r="K16" s="2520"/>
      <c r="Z16" s="871">
        <f>IF( (Work!$BK$8='H3'!$C$17 ),"n/a",VALUE(CONCATENATE("0",IF(Work!$BK$8='H3'!$C$18,3,""),IF(Work!$BK$8='H3'!$C$19,13,""),IF(Work!$BK$8='H3'!$C$20,51,""),IF(Work!$BK$8='H3'!$C$21,88,""),IF(Work!$BK$8='G2'!$C$22,98,""))))</f>
        <v>51</v>
      </c>
    </row>
    <row r="17" spans="1:26" ht="15.9" thickTop="1" thickBot="1">
      <c r="A17" s="23"/>
      <c r="B17" s="38"/>
      <c r="C17" s="39" t="s">
        <v>181</v>
      </c>
      <c r="D17" s="21">
        <v>-3</v>
      </c>
      <c r="E17" s="21">
        <v>-1</v>
      </c>
      <c r="F17" s="21">
        <v>-2</v>
      </c>
      <c r="G17" s="2521" t="s">
        <v>1059</v>
      </c>
      <c r="H17" s="2522"/>
      <c r="I17" s="2522"/>
      <c r="J17" s="2522"/>
      <c r="K17" s="2523"/>
      <c r="Y17" s="532" t="s">
        <v>789</v>
      </c>
      <c r="Z17" s="871"/>
    </row>
    <row r="18" spans="1:26" ht="15.45" thickTop="1">
      <c r="A18" s="23"/>
      <c r="B18" s="38"/>
      <c r="C18" s="41" t="s">
        <v>131</v>
      </c>
      <c r="D18" s="42">
        <v>0</v>
      </c>
      <c r="E18" s="42">
        <v>5</v>
      </c>
      <c r="F18" s="42">
        <v>3</v>
      </c>
      <c r="G18" s="2524" t="s">
        <v>953</v>
      </c>
      <c r="H18" s="2525"/>
      <c r="I18" s="2525"/>
      <c r="J18" s="2525"/>
      <c r="K18" s="2526"/>
    </row>
    <row r="19" spans="1:26" ht="47.25" customHeight="1">
      <c r="A19" s="23"/>
      <c r="B19" s="38"/>
      <c r="C19" s="40" t="s">
        <v>130</v>
      </c>
      <c r="D19" s="20">
        <v>5</v>
      </c>
      <c r="E19" s="20">
        <v>21</v>
      </c>
      <c r="F19" s="20">
        <v>13</v>
      </c>
      <c r="G19" s="2512" t="s">
        <v>1701</v>
      </c>
      <c r="H19" s="2513"/>
      <c r="I19" s="2513"/>
      <c r="J19" s="2513"/>
      <c r="K19" s="2514"/>
    </row>
    <row r="20" spans="1:26" ht="48" customHeight="1">
      <c r="A20" s="23"/>
      <c r="B20" s="38"/>
      <c r="C20" s="40" t="s">
        <v>129</v>
      </c>
      <c r="D20" s="20">
        <v>21</v>
      </c>
      <c r="E20" s="20">
        <v>80</v>
      </c>
      <c r="F20" s="20">
        <v>51</v>
      </c>
      <c r="G20" s="2512" t="s">
        <v>1702</v>
      </c>
      <c r="H20" s="2513"/>
      <c r="I20" s="2513"/>
      <c r="J20" s="2513"/>
      <c r="K20" s="2514"/>
    </row>
    <row r="21" spans="1:26" ht="49.5" customHeight="1" thickBot="1">
      <c r="A21" s="23"/>
      <c r="B21" s="38"/>
      <c r="C21" s="40" t="s">
        <v>128</v>
      </c>
      <c r="D21" s="20">
        <v>80</v>
      </c>
      <c r="E21" s="20">
        <v>96</v>
      </c>
      <c r="F21" s="20">
        <v>88</v>
      </c>
      <c r="G21" s="2512" t="s">
        <v>1703</v>
      </c>
      <c r="H21" s="2513"/>
      <c r="I21" s="2513"/>
      <c r="J21" s="2513"/>
      <c r="K21" s="2514"/>
    </row>
    <row r="22" spans="1:26" ht="15.9" thickTop="1" thickBot="1">
      <c r="A22" s="23"/>
      <c r="B22" s="38"/>
      <c r="C22" s="63" t="s">
        <v>145</v>
      </c>
      <c r="D22" s="4">
        <v>96</v>
      </c>
      <c r="E22" s="4">
        <v>100</v>
      </c>
      <c r="F22" s="4">
        <v>98</v>
      </c>
      <c r="G22" s="2515" t="s">
        <v>954</v>
      </c>
      <c r="H22" s="2516"/>
      <c r="I22" s="2516"/>
      <c r="J22" s="2516"/>
      <c r="K22" s="2517"/>
    </row>
    <row r="23" spans="1:26" ht="15.45" thickTop="1" thickBot="1">
      <c r="A23" s="23"/>
      <c r="C23" s="11"/>
      <c r="D23" s="11"/>
      <c r="E23" s="11"/>
      <c r="F23" s="11"/>
      <c r="G23" s="895"/>
      <c r="H23" s="895"/>
      <c r="I23" s="895"/>
      <c r="J23" s="895"/>
      <c r="K23" s="74"/>
    </row>
    <row r="24" spans="1:26" ht="15" thickTop="1">
      <c r="A24" s="23"/>
    </row>
    <row r="25" spans="1:26">
      <c r="A25" s="23"/>
    </row>
    <row r="26" spans="1:26">
      <c r="A26" s="23"/>
    </row>
    <row r="27" spans="1:26">
      <c r="A27" s="23"/>
    </row>
    <row r="35" ht="15" customHeight="1"/>
    <row r="36" ht="15" customHeight="1"/>
  </sheetData>
  <mergeCells count="9">
    <mergeCell ref="G19:K19"/>
    <mergeCell ref="G20:K20"/>
    <mergeCell ref="G21:K21"/>
    <mergeCell ref="G22:K22"/>
    <mergeCell ref="C2:D4"/>
    <mergeCell ref="C5:D5"/>
    <mergeCell ref="G16:K16"/>
    <mergeCell ref="G17:K17"/>
    <mergeCell ref="G18:K18"/>
  </mergeCells>
  <conditionalFormatting sqref="D6:D7">
    <cfRule type="expression" dxfId="15" priority="9">
      <formula>SME_Rating_D3</formula>
    </cfRule>
  </conditionalFormatting>
  <conditionalFormatting sqref="C5:D5">
    <cfRule type="expression" dxfId="14" priority="8">
      <formula>SME_Rating_D3</formula>
    </cfRule>
  </conditionalFormatting>
  <dataValidations count="4">
    <dataValidation type="list" allowBlank="1" showInputMessage="1" sqref="D7" xr:uid="{00000000-0002-0000-2E00-000000000000}">
      <formula1>$M$28</formula1>
    </dataValidation>
    <dataValidation type="list" allowBlank="1" showErrorMessage="1" sqref="M7" xr:uid="{00000000-0002-0000-2E00-000001000000}">
      <formula1>$C$17:$C$22</formula1>
    </dataValidation>
    <dataValidation type="list" allowBlank="1" sqref="N7" xr:uid="{00000000-0002-0000-2E00-000002000000}">
      <formula1>Z17</formula1>
    </dataValidation>
    <dataValidation type="list" allowBlank="1" showErrorMessage="1" sqref="C7" xr:uid="{00000000-0002-0000-2E00-000003000000}">
      <formula1>C17:C22</formula1>
    </dataValidation>
  </dataValidations>
  <pageMargins left="0.7" right="0.7" top="0.75" bottom="0.75" header="0.3" footer="0.3"/>
  <pageSetup orientation="portrait" verticalDpi="0" r:id="rId1"/>
  <drawing r:id="rId2"/>
  <legacyDrawing r:id="rId3"/>
  <extLst>
    <ext xmlns:x14="http://schemas.microsoft.com/office/spreadsheetml/2009/9/main" uri="{78C0D931-6437-407d-A8EE-F0AAD7539E65}">
      <x14:conditionalFormattings>
        <x14:conditionalFormatting xmlns:xm="http://schemas.microsoft.com/office/excel/2006/main">
          <x14:cfRule type="containsText" priority="2" operator="containsText" text="(Low)" id="{53918702-E1E7-4B4D-B16F-2FD2DFCCAB21}">
            <xm:f>NOT(ISERROR(SEARCH("(Low)",'D3'!C7)))</xm:f>
            <x14:dxf>
              <font>
                <b/>
                <i val="0"/>
              </font>
              <fill>
                <patternFill>
                  <bgColor theme="9" tint="0.59996337778862885"/>
                </patternFill>
              </fill>
            </x14:dxf>
          </x14:cfRule>
          <x14:cfRule type="containsText" priority="3" operator="containsText" text="Moderate" id="{BD034B8B-A2EB-455E-A5A1-728BF7A5D745}">
            <xm:f>NOT(ISERROR(SEARCH("Moderate",'D3'!C7)))</xm:f>
            <x14:dxf>
              <font>
                <b/>
                <i val="0"/>
              </font>
              <fill>
                <patternFill>
                  <bgColor rgb="FFFFFF00"/>
                </patternFill>
              </fill>
            </x14:dxf>
          </x14:cfRule>
          <x14:cfRule type="containsText" priority="4" operator="containsText" text="(High)" id="{BEEB1DA6-73C4-447C-AD34-DFAA482C6950}">
            <xm:f>NOT(ISERROR(SEARCH("(High)",'D3'!C7)))</xm:f>
            <x14:dxf>
              <font>
                <b/>
                <i val="0"/>
              </font>
              <fill>
                <patternFill>
                  <bgColor rgb="FFFF7C80"/>
                </patternFill>
              </fill>
            </x14:dxf>
          </x14:cfRule>
          <x14:cfRule type="containsText" priority="5" operator="containsText" text="(Very High)" id="{4BF7F4BA-CCA9-44A8-AE2C-292A43CD0DC4}">
            <xm:f>NOT(ISERROR(SEARCH("(Very High)",'D3'!C7)))</xm:f>
            <x14:dxf>
              <font>
                <b/>
                <i val="0"/>
              </font>
              <fill>
                <patternFill>
                  <bgColor rgb="FFFF0000"/>
                </patternFill>
              </fill>
            </x14:dxf>
          </x14:cfRule>
          <x14:cfRule type="containsText" priority="10" operator="containsText" text="(Very Low)" id="{51277F61-1073-46FF-A076-52CD5EF6C02B}">
            <xm:f>NOT(ISERROR(SEARCH("(Very Low)",'D3'!C7)))</xm:f>
            <x14:dxf>
              <font>
                <b/>
                <i val="0"/>
              </font>
              <fill>
                <patternFill>
                  <bgColor rgb="FF92D050"/>
                </patternFill>
              </fill>
            </x14:dxf>
          </x14:cfRule>
          <xm:sqref>C7</xm:sqref>
        </x14:conditionalFormatting>
        <x14:conditionalFormatting xmlns:xm="http://schemas.microsoft.com/office/excel/2006/main">
          <x14:cfRule type="expression" priority="2483" id="{1FD78BB3-370F-4FA5-A993-5792A5A3E3D4}">
            <xm:f>OR(AND(IF('D3'!$C$7='D3'!$C$31,1,0),OR(IF('D3'!$D$7&lt;'D3'!$D$31,1,0),IF('D3'!$D$7&gt;='D3'!$E$31,1,0))),  AND(IF('D3'!$C$7='D3'!$C$32,1,0),OR(IF('D3'!$D$7&lt;'D3'!$D$32,1,0),IF('D3'!$D$7&gt;='D3'!$E$32,1,0))),  AND(IF('D3'!$C$7='D3'!$C$33,1,0),OR(IF('D3'!$D$7&lt;'D3'!$D$33,1,0),IF('D3'!$D$7&gt;='D3'!$E$33,1,0))),  AND(IF('D3'!$C$7='D3'!$C$34,1,0),OR(IF('D3'!$D$7&lt;'D3'!$D$34,1,0),IF('D3'!$D$7&gt;='D3'!$E$34,1,0))),  AND(IF('D3'!$C$7='D3'!$C$35,1,0),OR(IF('D3'!$D$7&lt;'D3'!$D$35,1,0),IF('D3'!$D$7&gt;'D3'!$E$35&gt;'D3'!#REF!,1,0))))</xm:f>
            <x14:dxf>
              <font>
                <b/>
                <i val="0"/>
                <strike val="0"/>
                <color rgb="FFC00000"/>
              </font>
              <fill>
                <patternFill>
                  <bgColor rgb="FFFFC000"/>
                </patternFill>
              </fill>
            </x14:dxf>
          </x14:cfRule>
          <xm:sqref>D7</xm:sqref>
        </x14:conditionalFormatting>
      </x14:conditionalFormatting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92D050"/>
  </sheetPr>
  <dimension ref="A2:R34"/>
  <sheetViews>
    <sheetView workbookViewId="0"/>
  </sheetViews>
  <sheetFormatPr defaultRowHeight="14.6"/>
  <cols>
    <col min="2" max="2" width="12.69140625" customWidth="1"/>
    <col min="3" max="4" width="16.69140625" customWidth="1"/>
    <col min="5" max="5" width="30.69140625" customWidth="1"/>
    <col min="6" max="6" width="52.69140625" customWidth="1"/>
    <col min="7" max="7" width="16.69140625" customWidth="1"/>
    <col min="8" max="9" width="30.69140625" customWidth="1"/>
    <col min="10" max="11" width="26.69140625" customWidth="1"/>
    <col min="12" max="12" width="20.69140625" customWidth="1"/>
    <col min="13" max="13" width="26.69140625" customWidth="1"/>
    <col min="14" max="14" width="32.69140625" customWidth="1"/>
    <col min="15" max="15" width="24.69140625" customWidth="1"/>
    <col min="16" max="16" width="18.69140625" customWidth="1"/>
    <col min="17" max="17" width="16.69140625" customWidth="1"/>
    <col min="18" max="18" width="26.69140625" customWidth="1"/>
  </cols>
  <sheetData>
    <row r="2" spans="1:18" ht="15" thickBot="1">
      <c r="B2" s="1025" t="s">
        <v>1791</v>
      </c>
      <c r="C2" s="1025"/>
      <c r="D2" s="1025"/>
      <c r="E2" s="1025"/>
    </row>
    <row r="3" spans="1:18" s="246" customFormat="1" ht="20.149999999999999" customHeight="1" thickTop="1" thickBot="1">
      <c r="D3" s="2051" t="s">
        <v>1142</v>
      </c>
      <c r="E3" s="2052"/>
      <c r="F3" s="2052"/>
      <c r="G3" s="2052"/>
      <c r="H3" s="2052"/>
      <c r="I3" s="2052"/>
      <c r="J3" s="2052"/>
      <c r="K3" s="2052"/>
      <c r="L3" s="2052"/>
      <c r="M3" s="2052"/>
      <c r="N3" s="2052"/>
      <c r="O3" s="2052"/>
      <c r="P3" s="2053"/>
      <c r="Q3" s="1531"/>
    </row>
    <row r="4" spans="1:18" s="246" customFormat="1" ht="20.149999999999999" customHeight="1" thickTop="1" thickBot="1">
      <c r="D4" s="2085" t="s">
        <v>1201</v>
      </c>
      <c r="E4" s="2086"/>
      <c r="F4" s="2087"/>
      <c r="G4" s="1631" t="s">
        <v>1205</v>
      </c>
      <c r="H4" s="2085" t="s">
        <v>1202</v>
      </c>
      <c r="I4" s="2086"/>
      <c r="J4" s="2087"/>
      <c r="K4" s="2085" t="s">
        <v>1203</v>
      </c>
      <c r="L4" s="2086"/>
      <c r="M4" s="2087"/>
      <c r="N4" s="2085" t="s">
        <v>1204</v>
      </c>
      <c r="O4" s="2086"/>
      <c r="P4" s="2087"/>
      <c r="Q4" s="1531"/>
      <c r="R4" s="525"/>
    </row>
    <row r="5" spans="1:18" s="246" customFormat="1" ht="20.149999999999999" customHeight="1" thickTop="1" thickBot="1">
      <c r="B5" s="1632"/>
      <c r="C5" s="2081" t="s">
        <v>170</v>
      </c>
      <c r="D5" s="2081" t="s">
        <v>226</v>
      </c>
      <c r="E5" s="2088" t="s">
        <v>1168</v>
      </c>
      <c r="F5" s="2060"/>
      <c r="G5" s="2081" t="s">
        <v>153</v>
      </c>
      <c r="H5" s="2088" t="s">
        <v>1171</v>
      </c>
      <c r="I5" s="2090"/>
      <c r="J5" s="2060"/>
      <c r="K5" s="2088" t="s">
        <v>1172</v>
      </c>
      <c r="L5" s="2090"/>
      <c r="M5" s="2060"/>
      <c r="N5" s="2088" t="s">
        <v>1173</v>
      </c>
      <c r="O5" s="2090"/>
      <c r="P5" s="2060"/>
      <c r="Q5" s="2089" t="s">
        <v>1687</v>
      </c>
      <c r="R5" s="2084"/>
    </row>
    <row r="6" spans="1:18" s="246" customFormat="1" ht="20.149999999999999" customHeight="1" thickTop="1" thickBot="1">
      <c r="B6" s="1633"/>
      <c r="C6" s="2082"/>
      <c r="D6" s="2082"/>
      <c r="E6" s="1634" t="s">
        <v>1817</v>
      </c>
      <c r="F6" s="1635" t="s">
        <v>1818</v>
      </c>
      <c r="G6" s="2082"/>
      <c r="H6" s="1635" t="s">
        <v>1770</v>
      </c>
      <c r="I6" s="1635" t="s">
        <v>135</v>
      </c>
      <c r="J6" s="525" t="s">
        <v>1676</v>
      </c>
      <c r="K6" s="1635" t="s">
        <v>1771</v>
      </c>
      <c r="L6" s="1619" t="s">
        <v>135</v>
      </c>
      <c r="M6" s="1619" t="s">
        <v>1780</v>
      </c>
      <c r="N6" s="1636" t="s">
        <v>1772</v>
      </c>
      <c r="O6" s="525" t="s">
        <v>135</v>
      </c>
      <c r="P6" s="525" t="s">
        <v>1780</v>
      </c>
      <c r="Q6" s="1629" t="s">
        <v>1678</v>
      </c>
      <c r="R6" s="1630" t="s">
        <v>135</v>
      </c>
    </row>
    <row r="7" spans="1:18" s="246" customFormat="1" ht="20.149999999999999" customHeight="1" thickTop="1" thickBot="1">
      <c r="B7" s="1570" t="s">
        <v>1297</v>
      </c>
      <c r="C7" s="1636" t="s">
        <v>1787</v>
      </c>
      <c r="D7" s="1650" t="s">
        <v>1790</v>
      </c>
      <c r="E7" s="1636" t="s">
        <v>1773</v>
      </c>
      <c r="F7" s="1656" t="s">
        <v>1774</v>
      </c>
      <c r="G7" s="1651" t="s">
        <v>1793</v>
      </c>
      <c r="H7" s="1635" t="s">
        <v>1775</v>
      </c>
      <c r="I7" s="1657" t="s">
        <v>1776</v>
      </c>
      <c r="J7" s="1658" t="s">
        <v>1778</v>
      </c>
      <c r="K7" s="1636" t="s">
        <v>1777</v>
      </c>
      <c r="L7" s="1659" t="s">
        <v>1779</v>
      </c>
      <c r="M7" s="1658" t="s">
        <v>1781</v>
      </c>
      <c r="N7" s="1636" t="s">
        <v>1782</v>
      </c>
      <c r="O7" s="1659" t="s">
        <v>1783</v>
      </c>
      <c r="P7" s="1658" t="s">
        <v>1784</v>
      </c>
      <c r="Q7" s="1660" t="s">
        <v>1785</v>
      </c>
      <c r="R7" s="1654" t="s">
        <v>1786</v>
      </c>
    </row>
    <row r="8" spans="1:18" s="72" customFormat="1" ht="16.75" thickTop="1" thickBot="1">
      <c r="A8"/>
      <c r="B8" s="1534" t="s">
        <v>1839</v>
      </c>
      <c r="C8" s="1535" t="str">
        <f>Work!$J$8</f>
        <v>Adversarial</v>
      </c>
      <c r="D8" s="1535">
        <f>Work!$B$8</f>
        <v>3</v>
      </c>
      <c r="E8" s="1535" t="str">
        <f>IF(Adversarial, Work!$L$8,"n/a")</f>
        <v>Adversarial</v>
      </c>
      <c r="F8" s="1535" t="str">
        <f>IF(Adversarial, Work!M8,"n/a")</f>
        <v>Organization Definition #1 (Extra )</v>
      </c>
      <c r="G8" s="1535" t="str">
        <f>Work!$N$8</f>
        <v>Yes</v>
      </c>
      <c r="H8" s="1535" t="str">
        <f>IF(Adversarial, Work!$O$8,"n/a")</f>
        <v>80-95+  (High)</v>
      </c>
      <c r="I8" s="1535">
        <f>IF(Adversarial, Work!$P$8,"n/a")</f>
        <v>88</v>
      </c>
      <c r="J8" s="1535">
        <f>Work!Q8</f>
        <v>100</v>
      </c>
      <c r="K8" s="1535" t="str">
        <f>IF(Adversarial, Work!$R$8,"n/a")</f>
        <v>5-20+   (Low)</v>
      </c>
      <c r="L8" s="1536">
        <f>IF(Adversarial, Work!$S$8,"n/a")</f>
        <v>13</v>
      </c>
      <c r="M8" s="1536">
        <f>Work!T8</f>
        <v>100</v>
      </c>
      <c r="N8" s="1535" t="str">
        <f>IF(Adversarial, Work!$U$8,"n/a")</f>
        <v>5-20+   (Low)</v>
      </c>
      <c r="O8" s="1536">
        <f>IF(Adversarial, Work!$V$8,"n/a")</f>
        <v>13</v>
      </c>
      <c r="P8" s="1536">
        <f>Work!W8</f>
        <v>100</v>
      </c>
      <c r="Q8" s="1537" t="str">
        <f>Work!K8</f>
        <v>Weighted RMS</v>
      </c>
      <c r="R8" s="1655">
        <f>Work!Z8</f>
        <v>51.9</v>
      </c>
    </row>
    <row r="9" spans="1:18" ht="15" thickTop="1"/>
    <row r="21" spans="1:11" ht="15.75" customHeight="1"/>
    <row r="22" spans="1:11" ht="15.75" customHeight="1"/>
    <row r="23" spans="1:11" ht="15.75" customHeight="1"/>
    <row r="24" spans="1:11" ht="15.75" customHeight="1"/>
    <row r="25" spans="1:11" ht="15.75" customHeight="1"/>
    <row r="27" spans="1:11" ht="15" thickBot="1">
      <c r="B27" s="1025" t="s">
        <v>1791</v>
      </c>
      <c r="C27" s="1025"/>
      <c r="D27" s="1025"/>
      <c r="E27" s="1025"/>
    </row>
    <row r="28" spans="1:11" s="246" customFormat="1" ht="20.149999999999999" customHeight="1" thickTop="1" thickBot="1">
      <c r="D28" s="2051" t="s">
        <v>1143</v>
      </c>
      <c r="E28" s="2052"/>
      <c r="F28" s="2052"/>
      <c r="G28" s="2052"/>
      <c r="H28" s="2052"/>
      <c r="I28" s="2052"/>
      <c r="J28" s="2052"/>
      <c r="K28" s="2053"/>
    </row>
    <row r="29" spans="1:11" s="526" customFormat="1" ht="20.149999999999999" customHeight="1" thickTop="1" thickBot="1">
      <c r="A29" s="246"/>
      <c r="B29" s="246"/>
      <c r="C29" s="246"/>
      <c r="D29" s="2091" t="s">
        <v>1208</v>
      </c>
      <c r="E29" s="2092"/>
      <c r="F29" s="2092"/>
      <c r="G29" s="2093"/>
      <c r="H29" s="2091" t="s">
        <v>1207</v>
      </c>
      <c r="I29" s="2092"/>
      <c r="J29" s="2092"/>
      <c r="K29" s="2093"/>
    </row>
    <row r="30" spans="1:11" s="246" customFormat="1" ht="20.149999999999999" customHeight="1" thickTop="1" thickBot="1">
      <c r="C30" s="2079" t="s">
        <v>170</v>
      </c>
      <c r="D30" s="2079" t="s">
        <v>226</v>
      </c>
      <c r="E30" s="2083" t="s">
        <v>1168</v>
      </c>
      <c r="F30" s="2084"/>
      <c r="G30" s="1631" t="s">
        <v>1206</v>
      </c>
      <c r="H30" s="2083" t="s">
        <v>1174</v>
      </c>
      <c r="I30" s="2084"/>
      <c r="J30" s="2089" t="s">
        <v>1688</v>
      </c>
      <c r="K30" s="2084"/>
    </row>
    <row r="31" spans="1:11" s="246" customFormat="1" ht="20.149999999999999" customHeight="1" thickTop="1" thickBot="1">
      <c r="C31" s="2080"/>
      <c r="D31" s="2080"/>
      <c r="E31" s="1625" t="s">
        <v>1769</v>
      </c>
      <c r="F31" s="1625" t="s">
        <v>1788</v>
      </c>
      <c r="G31" s="1557" t="s">
        <v>153</v>
      </c>
      <c r="H31" s="1646" t="s">
        <v>1789</v>
      </c>
      <c r="I31" s="1619" t="s">
        <v>135</v>
      </c>
      <c r="J31" s="1647" t="s">
        <v>1678</v>
      </c>
      <c r="K31" s="1648" t="s">
        <v>135</v>
      </c>
    </row>
    <row r="32" spans="1:11" s="246" customFormat="1" ht="20.149999999999999" customHeight="1" thickTop="1" thickBot="1">
      <c r="B32" s="1570" t="s">
        <v>1297</v>
      </c>
      <c r="C32" s="1636" t="s">
        <v>1787</v>
      </c>
      <c r="D32" s="1650" t="s">
        <v>1790</v>
      </c>
      <c r="E32" s="1636" t="s">
        <v>1773</v>
      </c>
      <c r="F32" s="1635" t="s">
        <v>1792</v>
      </c>
      <c r="G32" s="1651" t="s">
        <v>1793</v>
      </c>
      <c r="H32" s="1635" t="s">
        <v>1794</v>
      </c>
      <c r="I32" s="1652" t="s">
        <v>1795</v>
      </c>
      <c r="J32" s="1653" t="s">
        <v>1785</v>
      </c>
      <c r="K32" s="1654" t="s">
        <v>1796</v>
      </c>
    </row>
    <row r="33" spans="1:11" s="127" customFormat="1" ht="17.25" customHeight="1" thickTop="1" thickBot="1">
      <c r="A33"/>
      <c r="B33" s="1534" t="s">
        <v>1839</v>
      </c>
      <c r="C33" s="1535" t="str">
        <f>Work!$J$8</f>
        <v>Adversarial</v>
      </c>
      <c r="D33" s="1535">
        <f>Work!$B$8</f>
        <v>3</v>
      </c>
      <c r="E33" s="1535" t="str">
        <f>IF(Adversarial, "n/a",  Work!$L$8)</f>
        <v>n/a</v>
      </c>
      <c r="F33" s="1535" t="str">
        <f>IF(Adversarial, "n/a", Work!$M$8)</f>
        <v>n/a</v>
      </c>
      <c r="G33" s="1535" t="str">
        <f>Work!$N$8</f>
        <v>Yes</v>
      </c>
      <c r="H33" s="1535" t="str">
        <f>IF(Adversarial, "n/a", Work!$X$8)</f>
        <v>n/a</v>
      </c>
      <c r="I33" s="1645" t="str">
        <f>IF(Adversarial, "n/a", Work!$Y$8)</f>
        <v>n/a</v>
      </c>
      <c r="J33" s="1537" t="str">
        <f>Algorithm</f>
        <v>Weighted RMS</v>
      </c>
      <c r="K33" s="1655">
        <f>Work!Z8</f>
        <v>51.9</v>
      </c>
    </row>
    <row r="34" spans="1:11" ht="15" thickTop="1"/>
  </sheetData>
  <mergeCells count="21">
    <mergeCell ref="D3:P3"/>
    <mergeCell ref="E30:F30"/>
    <mergeCell ref="D4:F4"/>
    <mergeCell ref="E5:F5"/>
    <mergeCell ref="Q5:R5"/>
    <mergeCell ref="J30:K30"/>
    <mergeCell ref="K5:M5"/>
    <mergeCell ref="K4:M4"/>
    <mergeCell ref="N5:P5"/>
    <mergeCell ref="N4:P4"/>
    <mergeCell ref="H5:J5"/>
    <mergeCell ref="H4:J4"/>
    <mergeCell ref="H29:K29"/>
    <mergeCell ref="D28:K28"/>
    <mergeCell ref="D29:G29"/>
    <mergeCell ref="H30:I30"/>
    <mergeCell ref="C30:C31"/>
    <mergeCell ref="C5:C6"/>
    <mergeCell ref="D30:D31"/>
    <mergeCell ref="D5:D6"/>
    <mergeCell ref="G5:G6"/>
  </mergeCells>
  <dataValidations count="2">
    <dataValidation type="whole" allowBlank="1" showInputMessage="1" showErrorMessage="1" sqref="J8 M8 P8" xr:uid="{00000000-0002-0000-0200-000000000000}">
      <formula1>0</formula1>
      <formula2>100</formula2>
    </dataValidation>
    <dataValidation type="decimal" allowBlank="1" showInputMessage="1" showErrorMessage="1" sqref="R8" xr:uid="{00000000-0002-0000-0200-000001000000}">
      <formula1>0</formula1>
      <formula2>100</formula2>
    </dataValidation>
  </dataValidations>
  <pageMargins left="0.7" right="0.7" top="0.75" bottom="0.75" header="0.3" footer="0.3"/>
  <pageSetup orientation="portrait" verticalDpi="0" r:id="rId1"/>
  <drawing r:id="rId2"/>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A1:AN54"/>
  <sheetViews>
    <sheetView workbookViewId="0"/>
  </sheetViews>
  <sheetFormatPr defaultRowHeight="14.6"/>
  <cols>
    <col min="2" max="2" width="10.69140625" customWidth="1"/>
    <col min="3" max="4" width="24.69140625" customWidth="1"/>
    <col min="5" max="6" width="28.69140625" customWidth="1"/>
    <col min="7" max="7" width="24.69140625" customWidth="1"/>
    <col min="8" max="10" width="20.69140625" customWidth="1"/>
    <col min="11" max="11" width="157.15234375" customWidth="1"/>
    <col min="12" max="13" width="20.69140625" customWidth="1"/>
    <col min="14" max="16" width="24.69140625" customWidth="1"/>
    <col min="26" max="26" width="19" customWidth="1"/>
  </cols>
  <sheetData>
    <row r="1" spans="2:26" ht="15" thickBot="1"/>
    <row r="2" spans="2:26" ht="76.5" customHeight="1" thickTop="1">
      <c r="C2" s="2271" t="str">
        <f>VLOOKUP($C$7,$C$17:$G$22,5,FALSE)</f>
        <v>Description: Very low risk means that a threat event could be expected to have a negligible adverse effect on organizational operations, organizational assets, individuals, other organizations, or the Nation.</v>
      </c>
      <c r="D2" s="2272"/>
    </row>
    <row r="3" spans="2:26" ht="16.5" customHeight="1">
      <c r="C3" s="2273"/>
      <c r="D3" s="2274"/>
    </row>
    <row r="4" spans="2:26">
      <c r="C4" s="2275"/>
      <c r="D4" s="2276"/>
    </row>
    <row r="5" spans="2:26">
      <c r="C5" s="2277" t="str">
        <f>IF(SME_Rating_D3,"D3_Error: Click for Mean Value or Redo SME Rating","")</f>
        <v/>
      </c>
      <c r="D5" s="2278"/>
    </row>
    <row r="6" spans="2:26" ht="15" thickBot="1">
      <c r="C6" s="44" t="s">
        <v>133</v>
      </c>
      <c r="D6" s="51" t="s">
        <v>135</v>
      </c>
    </row>
    <row r="7" spans="2:26" ht="15.45" thickTop="1" thickBot="1">
      <c r="B7" s="534"/>
      <c r="C7" s="36" t="s">
        <v>131</v>
      </c>
      <c r="D7" s="53">
        <v>3</v>
      </c>
    </row>
    <row r="8" spans="2:26" ht="15" thickTop="1"/>
    <row r="13" spans="2:26" ht="15" thickBot="1"/>
    <row r="14" spans="2:26" ht="15" thickTop="1">
      <c r="Z14" s="755" t="s">
        <v>1087</v>
      </c>
    </row>
    <row r="15" spans="2:26" ht="15" thickBot="1">
      <c r="Z15" s="756" t="s">
        <v>1088</v>
      </c>
    </row>
    <row r="16" spans="2:26" ht="15.45" thickTop="1" thickBot="1">
      <c r="C16" s="797" t="s">
        <v>48</v>
      </c>
      <c r="D16" s="530" t="s">
        <v>1137</v>
      </c>
      <c r="E16" s="62"/>
      <c r="F16" s="530" t="s">
        <v>117</v>
      </c>
      <c r="G16" s="55" t="s">
        <v>102</v>
      </c>
      <c r="H16" s="64"/>
      <c r="I16" s="64"/>
      <c r="J16" s="64"/>
      <c r="K16" s="22"/>
      <c r="Z16" s="631" t="s">
        <v>1089</v>
      </c>
    </row>
    <row r="17" spans="1:26" ht="15.9" thickTop="1" thickBot="1">
      <c r="A17" s="23"/>
      <c r="B17" s="38"/>
      <c r="C17" s="39"/>
      <c r="D17" s="21"/>
      <c r="E17" s="21"/>
      <c r="F17" s="21"/>
      <c r="G17" s="37" t="s">
        <v>127</v>
      </c>
      <c r="H17" s="49"/>
      <c r="I17" s="49"/>
      <c r="J17" s="49"/>
      <c r="K17" s="57"/>
      <c r="Y17" s="532" t="s">
        <v>789</v>
      </c>
      <c r="Z17" s="169" t="e">
        <f>IF( OR(NOT(Adversarial),(Work!#REF!='I3'!$C$17) ),"n/a",VALUE(CONCATENATE("0",IF(Work!#REF!='I3'!$C$18,3,""),IF(Work!#REF!='I3'!$C$19,13,""),IF(Work!#REF!='I3'!$C$20,51,""),IF(Work!#REF!='I3'!$C$21,88,""),IF(Work!#REF!='I3'!$C$22,98,""))))</f>
        <v>#REF!</v>
      </c>
    </row>
    <row r="18" spans="1:26" ht="15.9" thickTop="1" thickBot="1">
      <c r="A18" s="23"/>
      <c r="B18" s="38"/>
      <c r="C18" s="41" t="s">
        <v>131</v>
      </c>
      <c r="D18" s="761" t="s">
        <v>348</v>
      </c>
      <c r="E18" s="42"/>
      <c r="F18" s="42">
        <v>3</v>
      </c>
      <c r="G18" s="58" t="s">
        <v>988</v>
      </c>
      <c r="H18" s="65"/>
      <c r="I18" s="66"/>
      <c r="J18" s="66"/>
      <c r="K18" s="67"/>
      <c r="Z18" s="14"/>
    </row>
    <row r="19" spans="1:26" ht="15.45" thickTop="1">
      <c r="A19" s="23"/>
      <c r="B19" s="38"/>
      <c r="C19" s="40" t="s">
        <v>130</v>
      </c>
      <c r="D19" s="764" t="s">
        <v>238</v>
      </c>
      <c r="E19" s="20"/>
      <c r="F19" s="20">
        <v>13</v>
      </c>
      <c r="G19" s="46" t="s">
        <v>989</v>
      </c>
      <c r="H19" s="49"/>
      <c r="I19" s="49"/>
      <c r="J19" s="49"/>
      <c r="K19" s="57"/>
    </row>
    <row r="20" spans="1:26" ht="15">
      <c r="A20" s="23"/>
      <c r="B20" s="38"/>
      <c r="C20" s="41" t="s">
        <v>129</v>
      </c>
      <c r="D20" s="765" t="s">
        <v>260</v>
      </c>
      <c r="E20" s="42"/>
      <c r="F20" s="42">
        <v>51</v>
      </c>
      <c r="G20" s="58" t="s">
        <v>990</v>
      </c>
      <c r="H20" s="66"/>
      <c r="I20" s="66"/>
      <c r="J20" s="66"/>
      <c r="K20" s="67"/>
    </row>
    <row r="21" spans="1:26" ht="15.45" thickBot="1">
      <c r="A21" s="23"/>
      <c r="B21" s="38"/>
      <c r="C21" s="40" t="s">
        <v>128</v>
      </c>
      <c r="D21" s="766" t="s">
        <v>261</v>
      </c>
      <c r="E21" s="20"/>
      <c r="F21" s="20">
        <v>88</v>
      </c>
      <c r="G21" s="59" t="s">
        <v>991</v>
      </c>
      <c r="H21" s="49"/>
      <c r="I21" s="49"/>
      <c r="J21" s="49"/>
      <c r="K21" s="57"/>
    </row>
    <row r="22" spans="1:26" ht="15.9" thickTop="1" thickBot="1">
      <c r="A22" s="23"/>
      <c r="B22" s="38"/>
      <c r="C22" s="903" t="s">
        <v>145</v>
      </c>
      <c r="D22" s="904" t="s">
        <v>235</v>
      </c>
      <c r="E22" s="760"/>
      <c r="F22" s="760">
        <v>98</v>
      </c>
      <c r="G22" s="905" t="s">
        <v>992</v>
      </c>
      <c r="H22" s="906"/>
      <c r="I22" s="906"/>
      <c r="J22" s="906"/>
      <c r="K22" s="907"/>
    </row>
    <row r="23" spans="1:26" ht="15.45" thickTop="1" thickBot="1">
      <c r="A23" s="23"/>
      <c r="C23" s="11"/>
      <c r="D23" s="11"/>
      <c r="E23" s="11"/>
      <c r="F23" s="11"/>
      <c r="G23" s="895"/>
      <c r="H23" s="895"/>
      <c r="I23" s="895"/>
      <c r="J23" s="895"/>
      <c r="K23" s="74"/>
    </row>
    <row r="24" spans="1:26" ht="15" thickTop="1"/>
    <row r="39" spans="5:31" ht="18.45">
      <c r="E39" s="737"/>
      <c r="F39" s="737"/>
      <c r="L39" s="737"/>
      <c r="M39" s="737"/>
      <c r="AB39" s="737"/>
      <c r="AE39" s="737"/>
    </row>
    <row r="48" spans="5:31" ht="15" customHeight="1"/>
    <row r="49" spans="26:40" ht="15" customHeight="1"/>
    <row r="50" spans="26:40" ht="15" customHeight="1"/>
    <row r="54" spans="26:40" ht="18.45">
      <c r="Z54" s="754" t="s">
        <v>1085</v>
      </c>
      <c r="AA54" s="754" t="s">
        <v>1086</v>
      </c>
      <c r="AM54" s="754" t="s">
        <v>1085</v>
      </c>
      <c r="AN54" s="754" t="s">
        <v>1086</v>
      </c>
    </row>
  </sheetData>
  <mergeCells count="2">
    <mergeCell ref="C2:D4"/>
    <mergeCell ref="C5:D5"/>
  </mergeCells>
  <conditionalFormatting sqref="D6:D7">
    <cfRule type="expression" dxfId="7" priority="9">
      <formula>SME_Rating_D3</formula>
    </cfRule>
  </conditionalFormatting>
  <conditionalFormatting sqref="C5:D5">
    <cfRule type="expression" dxfId="6" priority="8">
      <formula>SME_Rating_D3</formula>
    </cfRule>
  </conditionalFormatting>
  <dataValidations count="4">
    <dataValidation type="list" allowBlank="1" showErrorMessage="1" sqref="C7" xr:uid="{00000000-0002-0000-2F00-000000000000}">
      <formula1>C17:C22</formula1>
    </dataValidation>
    <dataValidation type="list" allowBlank="1" sqref="N7" xr:uid="{00000000-0002-0000-2F00-000001000000}">
      <formula1>Z17</formula1>
    </dataValidation>
    <dataValidation type="list" allowBlank="1" showErrorMessage="1" sqref="M7" xr:uid="{00000000-0002-0000-2F00-000002000000}">
      <formula1>$C$17:$C$22</formula1>
    </dataValidation>
    <dataValidation type="list" allowBlank="1" showInputMessage="1" sqref="D7" xr:uid="{00000000-0002-0000-2F00-000003000000}">
      <formula1>$M$40</formula1>
    </dataValidation>
  </dataValidations>
  <pageMargins left="0.7" right="0.7" top="0.75" bottom="0.75" header="0.3" footer="0.3"/>
  <pageSetup orientation="portrait" verticalDpi="0" r:id="rId1"/>
  <drawing r:id="rId2"/>
  <legacyDrawing r:id="rId3"/>
  <extLst>
    <ext xmlns:x14="http://schemas.microsoft.com/office/spreadsheetml/2009/9/main" uri="{78C0D931-6437-407d-A8EE-F0AAD7539E65}">
      <x14:conditionalFormattings>
        <x14:conditionalFormatting xmlns:xm="http://schemas.microsoft.com/office/excel/2006/main">
          <x14:cfRule type="containsText" priority="2" operator="containsText" text="(Low)" id="{2CD22B2E-8EA8-4108-BB79-7340A43E8EB0}">
            <xm:f>NOT(ISERROR(SEARCH("(Low)",'D3'!C7)))</xm:f>
            <x14:dxf>
              <font>
                <b/>
                <i val="0"/>
              </font>
              <fill>
                <patternFill>
                  <bgColor theme="9" tint="0.59996337778862885"/>
                </patternFill>
              </fill>
            </x14:dxf>
          </x14:cfRule>
          <x14:cfRule type="containsText" priority="3" operator="containsText" text="Moderate" id="{C9DD37CA-7323-4B5D-88A1-5AB36836FE53}">
            <xm:f>NOT(ISERROR(SEARCH("Moderate",'D3'!C7)))</xm:f>
            <x14:dxf>
              <font>
                <b/>
                <i val="0"/>
              </font>
              <fill>
                <patternFill>
                  <bgColor rgb="FFFFFF00"/>
                </patternFill>
              </fill>
            </x14:dxf>
          </x14:cfRule>
          <x14:cfRule type="containsText" priority="4" operator="containsText" text="(High)" id="{A8CFE490-B16F-43CC-A8D1-3E670BBD6B8C}">
            <xm:f>NOT(ISERROR(SEARCH("(High)",'D3'!C7)))</xm:f>
            <x14:dxf>
              <font>
                <b/>
                <i val="0"/>
              </font>
              <fill>
                <patternFill>
                  <bgColor rgb="FFFF7C80"/>
                </patternFill>
              </fill>
            </x14:dxf>
          </x14:cfRule>
          <x14:cfRule type="containsText" priority="5" operator="containsText" text="(Very High)" id="{70B4935D-CE3C-43DA-BA8A-B98E94671D24}">
            <xm:f>NOT(ISERROR(SEARCH("(Very High)",'D3'!C7)))</xm:f>
            <x14:dxf>
              <font>
                <b/>
                <i val="0"/>
              </font>
              <fill>
                <patternFill>
                  <bgColor rgb="FFFF0000"/>
                </patternFill>
              </fill>
            </x14:dxf>
          </x14:cfRule>
          <x14:cfRule type="containsText" priority="10" operator="containsText" text="(Very Low)" id="{866435A9-951B-40C6-A3FF-E80674DAA6F1}">
            <xm:f>NOT(ISERROR(SEARCH("(Very Low)",'D3'!C7)))</xm:f>
            <x14:dxf>
              <font>
                <b/>
                <i val="0"/>
              </font>
              <fill>
                <patternFill>
                  <bgColor rgb="FF92D050"/>
                </patternFill>
              </fill>
            </x14:dxf>
          </x14:cfRule>
          <xm:sqref>C7</xm:sqref>
        </x14:conditionalFormatting>
        <x14:conditionalFormatting xmlns:xm="http://schemas.microsoft.com/office/excel/2006/main">
          <x14:cfRule type="expression" priority="2489" id="{49E04DCE-7CEF-4F34-A5AA-AE5699765CE8}">
            <xm:f>OR(AND(IF('D3'!$C$7='D3'!$C$31,1,0),OR(IF('D3'!$D$7&lt;'D3'!$D$31,1,0),IF('D3'!$D$7&gt;='D3'!$E$31,1,0))),  AND(IF('D3'!$C$7='D3'!$C$32,1,0),OR(IF('D3'!$D$7&lt;'D3'!$D$32,1,0),IF('D3'!$D$7&gt;='D3'!$E$32,1,0))),  AND(IF('D3'!$C$7='D3'!$C$33,1,0),OR(IF('D3'!$D$7&lt;'D3'!$D$33,1,0),IF('D3'!$D$7&gt;='D3'!$E$33,1,0))),  AND(IF('D3'!$C$7='D3'!$C$34,1,0),OR(IF('D3'!$D$7&lt;'D3'!$D$34,1,0),IF('D3'!$D$7&gt;='D3'!$E$34,1,0))),  AND(IF('D3'!$C$7='D3'!$C$35,1,0),OR(IF('D3'!$D$7&lt;'D3'!$D$35,1,0),IF('D3'!$D$7&gt;'D3'!$E$35&gt;'D3'!#REF!,1,0))))</xm:f>
            <x14:dxf>
              <font>
                <b/>
                <i val="0"/>
                <strike val="0"/>
                <color rgb="FFC00000"/>
              </font>
              <fill>
                <patternFill>
                  <bgColor rgb="FFFFC000"/>
                </patternFill>
              </fill>
            </x14:dxf>
          </x14:cfRule>
          <xm:sqref>D7</xm:sqref>
        </x14:conditionalFormatting>
      </x14:conditionalFormattings>
    </ext>
  </extLst>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B2:B32"/>
  <sheetViews>
    <sheetView workbookViewId="0"/>
  </sheetViews>
  <sheetFormatPr defaultRowHeight="14.6"/>
  <sheetData>
    <row r="2" spans="2:2" ht="18.45">
      <c r="B2" s="128" t="s">
        <v>1301</v>
      </c>
    </row>
    <row r="32" spans="2:2" ht="18.45">
      <c r="B32" s="128" t="s">
        <v>746</v>
      </c>
    </row>
  </sheetData>
  <pageMargins left="0.7" right="0.7" top="0.75" bottom="0.75" header="0.3" footer="0.3"/>
  <pageSetup orientation="portrait" verticalDpi="0" r:id="rId1"/>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A1"/>
  <sheetViews>
    <sheetView workbookViewId="0"/>
  </sheetViews>
  <sheetFormatPr defaultRowHeight="14.6"/>
  <sheetData/>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A1"/>
  <sheetViews>
    <sheetView workbookViewId="0"/>
  </sheetViews>
  <sheetFormatPr defaultRowHeight="14.6"/>
  <sheetData/>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S60:U77"/>
  <sheetViews>
    <sheetView workbookViewId="0"/>
  </sheetViews>
  <sheetFormatPr defaultRowHeight="14.6"/>
  <sheetData>
    <row r="60" spans="19:21" ht="18.45">
      <c r="S60" s="130" t="s">
        <v>215</v>
      </c>
      <c r="T60" s="131" t="s">
        <v>216</v>
      </c>
      <c r="U60" s="130" t="s">
        <v>217</v>
      </c>
    </row>
    <row r="75" spans="19:20">
      <c r="S75" t="s">
        <v>218</v>
      </c>
    </row>
    <row r="76" spans="19:20">
      <c r="T76" s="17" t="s">
        <v>219</v>
      </c>
    </row>
    <row r="77" spans="19:20">
      <c r="T77" s="25" t="s">
        <v>220</v>
      </c>
    </row>
  </sheetData>
  <hyperlinks>
    <hyperlink ref="T76" r:id="rId1" xr:uid="{00000000-0004-0000-3300-000000000000}"/>
  </hyperlinks>
  <pageMargins left="0.7" right="0.7" top="0.75" bottom="0.75" header="0.3" footer="0.3"/>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dimension ref="A1"/>
  <sheetViews>
    <sheetView workbookViewId="0"/>
  </sheetViews>
  <sheetFormatPr defaultRowHeight="14.6"/>
  <sheetData/>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dimension ref="A1"/>
  <sheetViews>
    <sheetView workbookViewId="0"/>
  </sheetViews>
  <sheetFormatPr defaultRowHeight="14.6"/>
  <sheetData/>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dimension ref="B2:J55"/>
  <sheetViews>
    <sheetView workbookViewId="0"/>
  </sheetViews>
  <sheetFormatPr defaultRowHeight="14.6"/>
  <cols>
    <col min="2" max="2" width="10.69140625" customWidth="1"/>
    <col min="3" max="3" width="36.69140625" customWidth="1"/>
    <col min="4" max="4" width="30.69140625" customWidth="1"/>
    <col min="5" max="7" width="5.69140625" customWidth="1"/>
    <col min="8" max="8" width="10.69140625" customWidth="1"/>
    <col min="9" max="9" width="44.69140625" customWidth="1"/>
    <col min="10" max="10" width="30.69140625" customWidth="1"/>
  </cols>
  <sheetData>
    <row r="2" spans="2:10" ht="21" thickBot="1">
      <c r="B2" s="132" t="s">
        <v>221</v>
      </c>
      <c r="C2" s="132"/>
      <c r="D2" s="132"/>
      <c r="H2" s="2534" t="s">
        <v>222</v>
      </c>
      <c r="I2" s="2534"/>
      <c r="J2" s="2534"/>
    </row>
    <row r="3" spans="2:10" ht="15" thickTop="1">
      <c r="B3" s="81"/>
      <c r="C3" s="133"/>
      <c r="D3" s="134" t="s">
        <v>223</v>
      </c>
      <c r="H3" s="81"/>
      <c r="I3" s="133" t="s">
        <v>224</v>
      </c>
      <c r="J3" s="134" t="s">
        <v>225</v>
      </c>
    </row>
    <row r="4" spans="2:10">
      <c r="B4" s="135" t="s">
        <v>226</v>
      </c>
      <c r="C4" s="136" t="s">
        <v>227</v>
      </c>
      <c r="D4" s="137" t="s">
        <v>228</v>
      </c>
      <c r="H4" s="135" t="s">
        <v>226</v>
      </c>
      <c r="I4" s="136" t="s">
        <v>229</v>
      </c>
      <c r="J4" s="137" t="s">
        <v>230</v>
      </c>
    </row>
    <row r="5" spans="2:10" ht="15" thickBot="1">
      <c r="B5" s="85"/>
      <c r="C5" s="138" t="s">
        <v>231</v>
      </c>
      <c r="D5" s="139" t="s">
        <v>232</v>
      </c>
      <c r="E5" s="75"/>
      <c r="H5" s="85"/>
      <c r="I5" s="140"/>
      <c r="J5" s="141" t="s">
        <v>232</v>
      </c>
    </row>
    <row r="6" spans="2:10" ht="30.75" customHeight="1" thickTop="1">
      <c r="B6" s="2535">
        <v>1</v>
      </c>
      <c r="C6" s="2537" t="s">
        <v>233</v>
      </c>
      <c r="D6" s="142">
        <v>98</v>
      </c>
      <c r="H6" s="2539">
        <v>1</v>
      </c>
      <c r="I6" s="2541" t="s">
        <v>234</v>
      </c>
      <c r="J6" s="142">
        <v>98</v>
      </c>
    </row>
    <row r="7" spans="2:10" ht="15" thickBot="1">
      <c r="B7" s="2536"/>
      <c r="C7" s="2538"/>
      <c r="D7" s="143" t="s">
        <v>235</v>
      </c>
      <c r="H7" s="2540"/>
      <c r="I7" s="2542"/>
      <c r="J7" s="143" t="s">
        <v>235</v>
      </c>
    </row>
    <row r="8" spans="2:10" ht="15" thickTop="1">
      <c r="B8" s="2536">
        <v>2</v>
      </c>
      <c r="C8" s="144" t="s">
        <v>236</v>
      </c>
      <c r="D8" s="142">
        <v>12</v>
      </c>
      <c r="H8" s="2544">
        <v>2</v>
      </c>
      <c r="I8" s="145" t="s">
        <v>237</v>
      </c>
      <c r="J8" s="146">
        <v>98</v>
      </c>
    </row>
    <row r="9" spans="2:10" ht="15" thickBot="1">
      <c r="B9" s="2543"/>
      <c r="C9" s="147"/>
      <c r="D9" s="143" t="s">
        <v>238</v>
      </c>
      <c r="H9" s="2545"/>
      <c r="I9" s="148"/>
      <c r="J9" s="143" t="s">
        <v>235</v>
      </c>
    </row>
    <row r="10" spans="2:10" ht="15" thickTop="1">
      <c r="B10" s="149"/>
      <c r="C10" s="150"/>
      <c r="D10" s="151"/>
      <c r="H10" s="149"/>
      <c r="I10" s="150"/>
      <c r="J10" s="151"/>
    </row>
    <row r="11" spans="2:10">
      <c r="B11" s="152"/>
      <c r="C11" s="153"/>
      <c r="D11" s="146"/>
      <c r="H11" s="152"/>
      <c r="I11" s="153"/>
      <c r="J11" s="146"/>
    </row>
    <row r="12" spans="2:10">
      <c r="B12" s="152"/>
      <c r="C12" s="153"/>
      <c r="D12" s="146"/>
      <c r="H12" s="152"/>
      <c r="I12" s="153"/>
      <c r="J12" s="146"/>
    </row>
    <row r="13" spans="2:10">
      <c r="B13" s="152"/>
      <c r="C13" s="153"/>
      <c r="D13" s="146"/>
      <c r="H13" s="152"/>
      <c r="I13" s="153"/>
      <c r="J13" s="146"/>
    </row>
    <row r="14" spans="2:10">
      <c r="B14" s="152"/>
      <c r="C14" s="153"/>
      <c r="D14" s="146"/>
      <c r="H14" s="152"/>
      <c r="I14" s="153"/>
      <c r="J14" s="146"/>
    </row>
    <row r="15" spans="2:10">
      <c r="B15" s="152"/>
      <c r="C15" s="153"/>
      <c r="D15" s="146"/>
      <c r="H15" s="152"/>
      <c r="I15" s="153"/>
      <c r="J15" s="146"/>
    </row>
    <row r="16" spans="2:10">
      <c r="B16" s="152"/>
      <c r="C16" s="153"/>
      <c r="D16" s="146"/>
      <c r="H16" s="152"/>
      <c r="I16" s="153"/>
      <c r="J16" s="146"/>
    </row>
    <row r="17" spans="2:10">
      <c r="B17" s="152"/>
      <c r="C17" s="153"/>
      <c r="D17" s="146"/>
      <c r="H17" s="152"/>
      <c r="I17" s="153"/>
      <c r="J17" s="146"/>
    </row>
    <row r="18" spans="2:10">
      <c r="B18" s="152"/>
      <c r="C18" s="153"/>
      <c r="D18" s="146"/>
      <c r="H18" s="152"/>
      <c r="I18" s="153"/>
      <c r="J18" s="146"/>
    </row>
    <row r="19" spans="2:10">
      <c r="B19" s="152"/>
      <c r="C19" s="153"/>
      <c r="D19" s="146"/>
      <c r="H19" s="152"/>
      <c r="I19" s="153"/>
      <c r="J19" s="146"/>
    </row>
    <row r="20" spans="2:10">
      <c r="B20" s="152"/>
      <c r="C20" s="153"/>
      <c r="D20" s="146"/>
      <c r="H20" s="152"/>
      <c r="I20" s="153"/>
      <c r="J20" s="146"/>
    </row>
    <row r="21" spans="2:10">
      <c r="B21" s="152"/>
      <c r="C21" s="153"/>
      <c r="D21" s="146"/>
      <c r="H21" s="152"/>
      <c r="I21" s="153"/>
      <c r="J21" s="146"/>
    </row>
    <row r="22" spans="2:10">
      <c r="B22" s="152"/>
      <c r="C22" s="153"/>
      <c r="D22" s="146"/>
      <c r="H22" s="152"/>
      <c r="I22" s="153"/>
      <c r="J22" s="146"/>
    </row>
    <row r="23" spans="2:10">
      <c r="B23" s="152"/>
      <c r="C23" s="153"/>
      <c r="D23" s="146"/>
      <c r="H23" s="152"/>
      <c r="I23" s="153"/>
      <c r="J23" s="146"/>
    </row>
    <row r="24" spans="2:10">
      <c r="B24" s="152"/>
      <c r="C24" s="153"/>
      <c r="D24" s="146"/>
      <c r="H24" s="152"/>
      <c r="I24" s="153"/>
      <c r="J24" s="146"/>
    </row>
    <row r="25" spans="2:10">
      <c r="B25" s="152"/>
      <c r="C25" s="153"/>
      <c r="D25" s="146"/>
      <c r="H25" s="152"/>
      <c r="I25" s="153"/>
      <c r="J25" s="146"/>
    </row>
    <row r="26" spans="2:10">
      <c r="B26" s="152"/>
      <c r="C26" s="153"/>
      <c r="D26" s="146"/>
      <c r="H26" s="152"/>
      <c r="I26" s="153"/>
      <c r="J26" s="146"/>
    </row>
    <row r="27" spans="2:10">
      <c r="B27" s="152"/>
      <c r="C27" s="153"/>
      <c r="D27" s="146"/>
      <c r="H27" s="152"/>
      <c r="I27" s="153"/>
      <c r="J27" s="146"/>
    </row>
    <row r="28" spans="2:10">
      <c r="B28" s="152"/>
      <c r="C28" s="153"/>
      <c r="D28" s="146"/>
      <c r="H28" s="152"/>
      <c r="I28" s="153"/>
      <c r="J28" s="146"/>
    </row>
    <row r="29" spans="2:10">
      <c r="B29" s="152"/>
      <c r="C29" s="153"/>
      <c r="D29" s="146"/>
      <c r="H29" s="152"/>
      <c r="I29" s="153"/>
      <c r="J29" s="146"/>
    </row>
    <row r="30" spans="2:10" ht="15" thickBot="1">
      <c r="B30" s="154"/>
      <c r="C30" s="155"/>
      <c r="D30" s="143"/>
      <c r="H30" s="154"/>
      <c r="I30" s="155"/>
      <c r="J30" s="143"/>
    </row>
    <row r="31" spans="2:10" ht="15" thickTop="1"/>
    <row r="33" spans="2:10" ht="15" thickBot="1"/>
    <row r="34" spans="2:10" ht="15" thickTop="1">
      <c r="B34" s="156" t="s">
        <v>239</v>
      </c>
      <c r="C34" s="2546" t="s">
        <v>240</v>
      </c>
      <c r="D34" s="2546"/>
      <c r="E34" s="96"/>
      <c r="F34" s="96"/>
      <c r="G34" s="96"/>
      <c r="H34" s="96"/>
      <c r="I34" s="96"/>
      <c r="J34" s="97"/>
    </row>
    <row r="35" spans="2:10">
      <c r="B35" s="75" t="s">
        <v>241</v>
      </c>
      <c r="J35" s="88"/>
    </row>
    <row r="36" spans="2:10" ht="15" customHeight="1">
      <c r="B36" s="2527" t="s">
        <v>242</v>
      </c>
      <c r="C36" s="2289" t="s">
        <v>243</v>
      </c>
      <c r="D36" s="2289"/>
      <c r="E36" s="2289"/>
      <c r="F36" s="2289"/>
      <c r="G36" s="2289"/>
      <c r="H36" s="2289"/>
      <c r="I36" s="2289"/>
      <c r="J36" s="2290"/>
    </row>
    <row r="37" spans="2:10">
      <c r="B37" s="2528"/>
      <c r="C37" s="2530"/>
      <c r="D37" s="2530"/>
      <c r="E37" s="2530"/>
      <c r="F37" s="2530"/>
      <c r="G37" s="2530"/>
      <c r="H37" s="2530"/>
      <c r="I37" s="2530"/>
      <c r="J37" s="2531"/>
    </row>
    <row r="38" spans="2:10">
      <c r="B38" s="2547"/>
      <c r="C38" s="2530"/>
      <c r="D38" s="2530"/>
      <c r="E38" s="2530"/>
      <c r="F38" s="2530"/>
      <c r="G38" s="2530"/>
      <c r="H38" s="2530"/>
      <c r="I38" s="2530"/>
      <c r="J38" s="2531"/>
    </row>
    <row r="39" spans="2:10">
      <c r="B39" s="75"/>
      <c r="C39" s="2530"/>
      <c r="D39" s="2530"/>
      <c r="E39" s="2530"/>
      <c r="F39" s="2530"/>
      <c r="G39" s="2530"/>
      <c r="H39" s="2530"/>
      <c r="I39" s="2530"/>
      <c r="J39" s="2531"/>
    </row>
    <row r="40" spans="2:10">
      <c r="B40" s="75"/>
      <c r="C40" s="2530"/>
      <c r="D40" s="2530"/>
      <c r="E40" s="2530"/>
      <c r="F40" s="2530"/>
      <c r="G40" s="2530"/>
      <c r="H40" s="2530"/>
      <c r="I40" s="2530"/>
      <c r="J40" s="2531"/>
    </row>
    <row r="41" spans="2:10">
      <c r="B41" s="157"/>
      <c r="C41" s="2548"/>
      <c r="D41" s="2548"/>
      <c r="E41" s="2548"/>
      <c r="F41" s="2548"/>
      <c r="G41" s="2548"/>
      <c r="H41" s="2548"/>
      <c r="I41" s="2548"/>
      <c r="J41" s="2549"/>
    </row>
    <row r="42" spans="2:10" ht="15" customHeight="1">
      <c r="B42" s="2288" t="s">
        <v>244</v>
      </c>
      <c r="C42" s="2289"/>
      <c r="D42" s="2289"/>
      <c r="E42" s="2289"/>
      <c r="F42" s="2289"/>
      <c r="G42" s="2289"/>
      <c r="H42" s="2289"/>
      <c r="I42" s="2289"/>
      <c r="J42" s="2290"/>
    </row>
    <row r="43" spans="2:10" ht="15" thickBot="1">
      <c r="B43" s="2550"/>
      <c r="C43" s="2532"/>
      <c r="D43" s="2532"/>
      <c r="E43" s="2532"/>
      <c r="F43" s="2532"/>
      <c r="G43" s="2532"/>
      <c r="H43" s="2532"/>
      <c r="I43" s="2532"/>
      <c r="J43" s="2533"/>
    </row>
    <row r="44" spans="2:10" ht="15" thickTop="1"/>
    <row r="45" spans="2:10" ht="15" thickBot="1"/>
    <row r="46" spans="2:10" ht="15" thickTop="1">
      <c r="B46" s="156" t="s">
        <v>245</v>
      </c>
      <c r="C46" s="2551" t="s">
        <v>246</v>
      </c>
      <c r="D46" s="2551"/>
      <c r="E46" s="96"/>
      <c r="F46" s="96"/>
      <c r="G46" s="96"/>
      <c r="H46" s="96"/>
      <c r="I46" s="96"/>
      <c r="J46" s="97"/>
    </row>
    <row r="47" spans="2:10">
      <c r="B47" s="158" t="s">
        <v>247</v>
      </c>
      <c r="C47" s="91"/>
      <c r="D47" s="91"/>
      <c r="E47" s="91"/>
      <c r="F47" s="91"/>
      <c r="G47" s="91"/>
      <c r="H47" s="91"/>
      <c r="I47" s="91"/>
      <c r="J47" s="159"/>
    </row>
    <row r="48" spans="2:10" ht="15" customHeight="1">
      <c r="B48" s="2527" t="s">
        <v>248</v>
      </c>
      <c r="C48" s="2530" t="s">
        <v>249</v>
      </c>
      <c r="D48" s="2530"/>
      <c r="E48" s="2530"/>
      <c r="F48" s="2530"/>
      <c r="G48" s="2530"/>
      <c r="H48" s="2530"/>
      <c r="I48" s="2530"/>
      <c r="J48" s="2531"/>
    </row>
    <row r="49" spans="2:10">
      <c r="B49" s="2528"/>
      <c r="C49" s="2530"/>
      <c r="D49" s="2530"/>
      <c r="E49" s="2530"/>
      <c r="F49" s="2530"/>
      <c r="G49" s="2530"/>
      <c r="H49" s="2530"/>
      <c r="I49" s="2530"/>
      <c r="J49" s="2531"/>
    </row>
    <row r="50" spans="2:10">
      <c r="B50" s="2528"/>
      <c r="C50" s="2530"/>
      <c r="D50" s="2530"/>
      <c r="E50" s="2530"/>
      <c r="F50" s="2530"/>
      <c r="G50" s="2530"/>
      <c r="H50" s="2530"/>
      <c r="I50" s="2530"/>
      <c r="J50" s="2531"/>
    </row>
    <row r="51" spans="2:10">
      <c r="B51" s="2528"/>
      <c r="C51" s="2530"/>
      <c r="D51" s="2530"/>
      <c r="E51" s="2530"/>
      <c r="F51" s="2530"/>
      <c r="G51" s="2530"/>
      <c r="H51" s="2530"/>
      <c r="I51" s="2530"/>
      <c r="J51" s="2531"/>
    </row>
    <row r="52" spans="2:10">
      <c r="B52" s="2528"/>
      <c r="C52" s="2530"/>
      <c r="D52" s="2530"/>
      <c r="E52" s="2530"/>
      <c r="F52" s="2530"/>
      <c r="G52" s="2530"/>
      <c r="H52" s="2530"/>
      <c r="I52" s="2530"/>
      <c r="J52" s="2531"/>
    </row>
    <row r="53" spans="2:10">
      <c r="B53" s="2528"/>
      <c r="C53" s="2530"/>
      <c r="D53" s="2530"/>
      <c r="E53" s="2530"/>
      <c r="F53" s="2530"/>
      <c r="G53" s="2530"/>
      <c r="H53" s="2530"/>
      <c r="I53" s="2530"/>
      <c r="J53" s="2531"/>
    </row>
    <row r="54" spans="2:10" ht="15" thickBot="1">
      <c r="B54" s="2529"/>
      <c r="C54" s="2532"/>
      <c r="D54" s="2532"/>
      <c r="E54" s="2532"/>
      <c r="F54" s="2532"/>
      <c r="G54" s="2532"/>
      <c r="H54" s="2532"/>
      <c r="I54" s="2532"/>
      <c r="J54" s="2533"/>
    </row>
    <row r="55" spans="2:10" ht="15" thickTop="1"/>
  </sheetData>
  <mergeCells count="14">
    <mergeCell ref="B48:B54"/>
    <mergeCell ref="C48:J54"/>
    <mergeCell ref="H2:J2"/>
    <mergeCell ref="B6:B7"/>
    <mergeCell ref="C6:C7"/>
    <mergeCell ref="H6:H7"/>
    <mergeCell ref="I6:I7"/>
    <mergeCell ref="B8:B9"/>
    <mergeCell ref="H8:H9"/>
    <mergeCell ref="C34:D34"/>
    <mergeCell ref="B36:B38"/>
    <mergeCell ref="C36:J41"/>
    <mergeCell ref="B42:J43"/>
    <mergeCell ref="C46:D46"/>
  </mergeCells>
  <hyperlinks>
    <hyperlink ref="C34" r:id="rId1" xr:uid="{00000000-0004-0000-3600-000000000000}"/>
  </hyperlinks>
  <pageMargins left="0.7" right="0.7" top="0.75" bottom="0.75" header="0.3" footer="0.3"/>
  <drawing r:id="rId2"/>
</worksheet>
</file>

<file path=xl/worksheets/sheet5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dimension ref="B2:AC57"/>
  <sheetViews>
    <sheetView workbookViewId="0"/>
  </sheetViews>
  <sheetFormatPr defaultRowHeight="14.6"/>
  <cols>
    <col min="2" max="2" width="12.53515625" customWidth="1"/>
    <col min="3" max="4" width="26.69140625" customWidth="1"/>
    <col min="5" max="8" width="30.69140625" customWidth="1"/>
    <col min="9" max="9" width="24.69140625" customWidth="1"/>
    <col min="10" max="10" width="20.69140625" customWidth="1"/>
  </cols>
  <sheetData>
    <row r="2" spans="2:10" ht="21" thickBot="1">
      <c r="B2" s="132" t="s">
        <v>250</v>
      </c>
      <c r="C2" s="132"/>
      <c r="D2" s="132"/>
      <c r="E2" s="132"/>
      <c r="F2" s="132"/>
      <c r="G2" s="132"/>
      <c r="H2" s="2534"/>
      <c r="I2" s="2534"/>
      <c r="J2" s="2552"/>
    </row>
    <row r="3" spans="2:10" ht="15" thickTop="1">
      <c r="B3" s="76"/>
      <c r="C3" s="2451" t="s">
        <v>251</v>
      </c>
      <c r="D3" s="2452"/>
      <c r="E3" s="2553" t="s">
        <v>252</v>
      </c>
      <c r="F3" s="2554"/>
      <c r="G3" s="2553" t="s">
        <v>253</v>
      </c>
      <c r="H3" s="2554"/>
      <c r="I3" s="160" t="s">
        <v>254</v>
      </c>
      <c r="J3" s="161"/>
    </row>
    <row r="4" spans="2:10" ht="18.45">
      <c r="B4" s="162" t="s">
        <v>226</v>
      </c>
      <c r="C4" s="2555" t="s">
        <v>255</v>
      </c>
      <c r="D4" s="2556"/>
      <c r="E4" s="2557" t="s">
        <v>256</v>
      </c>
      <c r="F4" s="2558"/>
      <c r="G4" s="2559" t="s">
        <v>257</v>
      </c>
      <c r="H4" s="2560"/>
      <c r="I4" s="162" t="s">
        <v>258</v>
      </c>
      <c r="J4" s="161"/>
    </row>
    <row r="5" spans="2:10" ht="15" thickBot="1">
      <c r="B5" s="14"/>
      <c r="C5" s="163" t="s">
        <v>259</v>
      </c>
      <c r="D5" s="164" t="s">
        <v>232</v>
      </c>
      <c r="E5" s="165" t="s">
        <v>259</v>
      </c>
      <c r="F5" s="166" t="s">
        <v>232</v>
      </c>
      <c r="G5" s="165" t="s">
        <v>259</v>
      </c>
      <c r="H5" s="166" t="s">
        <v>232</v>
      </c>
      <c r="I5" s="14"/>
      <c r="J5" s="161"/>
    </row>
    <row r="6" spans="2:10" ht="15" thickTop="1">
      <c r="B6" s="167">
        <v>1</v>
      </c>
      <c r="C6" s="168" t="s">
        <v>235</v>
      </c>
      <c r="D6" s="169">
        <v>98</v>
      </c>
      <c r="E6" s="170"/>
      <c r="F6" s="167"/>
      <c r="G6" s="168" t="s">
        <v>260</v>
      </c>
      <c r="H6" s="167">
        <v>50</v>
      </c>
      <c r="I6" s="171" t="s">
        <v>261</v>
      </c>
      <c r="J6" s="75"/>
    </row>
    <row r="7" spans="2:10">
      <c r="B7" s="167">
        <v>2</v>
      </c>
      <c r="C7" s="172"/>
      <c r="D7" s="173"/>
      <c r="E7" s="168" t="s">
        <v>235</v>
      </c>
      <c r="F7" s="20">
        <v>98</v>
      </c>
      <c r="G7" s="168" t="s">
        <v>238</v>
      </c>
      <c r="H7" s="167">
        <v>12</v>
      </c>
      <c r="I7" s="174" t="s">
        <v>260</v>
      </c>
      <c r="J7" s="75"/>
    </row>
    <row r="8" spans="2:10">
      <c r="B8" s="20"/>
      <c r="C8" s="175"/>
      <c r="D8" s="20"/>
      <c r="E8" s="175"/>
      <c r="F8" s="20"/>
      <c r="G8" s="175"/>
      <c r="H8" s="20"/>
      <c r="I8" s="176"/>
      <c r="J8" s="75"/>
    </row>
    <row r="9" spans="2:10">
      <c r="B9" s="20"/>
      <c r="C9" s="175"/>
      <c r="D9" s="20"/>
      <c r="E9" s="175"/>
      <c r="F9" s="20"/>
      <c r="G9" s="175"/>
      <c r="H9" s="20"/>
      <c r="I9" s="176"/>
      <c r="J9" s="75"/>
    </row>
    <row r="10" spans="2:10">
      <c r="B10" s="20"/>
      <c r="C10" s="175"/>
      <c r="D10" s="20"/>
      <c r="E10" s="175"/>
      <c r="F10" s="20"/>
      <c r="G10" s="175"/>
      <c r="H10" s="20"/>
      <c r="I10" s="176"/>
      <c r="J10" s="75"/>
    </row>
    <row r="11" spans="2:10">
      <c r="B11" s="20"/>
      <c r="C11" s="175"/>
      <c r="D11" s="20"/>
      <c r="E11" s="175"/>
      <c r="F11" s="20"/>
      <c r="G11" s="175"/>
      <c r="H11" s="20"/>
      <c r="I11" s="176"/>
      <c r="J11" s="75"/>
    </row>
    <row r="12" spans="2:10">
      <c r="B12" s="20"/>
      <c r="C12" s="175"/>
      <c r="D12" s="20"/>
      <c r="E12" s="175"/>
      <c r="F12" s="20"/>
      <c r="G12" s="175"/>
      <c r="H12" s="20"/>
      <c r="I12" s="176"/>
      <c r="J12" s="75"/>
    </row>
    <row r="13" spans="2:10">
      <c r="B13" s="20"/>
      <c r="C13" s="175"/>
      <c r="D13" s="20"/>
      <c r="E13" s="175"/>
      <c r="F13" s="20"/>
      <c r="G13" s="175"/>
      <c r="H13" s="20"/>
      <c r="I13" s="176"/>
      <c r="J13" s="75"/>
    </row>
    <row r="14" spans="2:10">
      <c r="B14" s="20"/>
      <c r="C14" s="175"/>
      <c r="D14" s="20"/>
      <c r="E14" s="175"/>
      <c r="F14" s="20"/>
      <c r="G14" s="175"/>
      <c r="H14" s="20"/>
      <c r="I14" s="176"/>
      <c r="J14" s="75"/>
    </row>
    <row r="15" spans="2:10">
      <c r="B15" s="20"/>
      <c r="C15" s="175"/>
      <c r="D15" s="20"/>
      <c r="E15" s="175"/>
      <c r="F15" s="20"/>
      <c r="G15" s="175"/>
      <c r="H15" s="20"/>
      <c r="I15" s="176"/>
      <c r="J15" s="75"/>
    </row>
    <row r="16" spans="2:10">
      <c r="B16" s="20"/>
      <c r="C16" s="175"/>
      <c r="D16" s="20"/>
      <c r="E16" s="175"/>
      <c r="F16" s="20"/>
      <c r="G16" s="175"/>
      <c r="H16" s="20"/>
      <c r="I16" s="176"/>
      <c r="J16" s="75"/>
    </row>
    <row r="17" spans="2:10">
      <c r="B17" s="20"/>
      <c r="C17" s="175"/>
      <c r="D17" s="20"/>
      <c r="E17" s="175"/>
      <c r="F17" s="20"/>
      <c r="G17" s="175"/>
      <c r="H17" s="20"/>
      <c r="I17" s="176"/>
      <c r="J17" s="75"/>
    </row>
    <row r="18" spans="2:10">
      <c r="B18" s="20"/>
      <c r="C18" s="175"/>
      <c r="D18" s="20"/>
      <c r="E18" s="175"/>
      <c r="F18" s="20"/>
      <c r="G18" s="175"/>
      <c r="H18" s="20"/>
      <c r="I18" s="176"/>
      <c r="J18" s="75"/>
    </row>
    <row r="19" spans="2:10">
      <c r="B19" s="20"/>
      <c r="C19" s="175"/>
      <c r="D19" s="20"/>
      <c r="E19" s="175"/>
      <c r="F19" s="20"/>
      <c r="G19" s="175"/>
      <c r="H19" s="20"/>
      <c r="I19" s="176"/>
      <c r="J19" s="75"/>
    </row>
    <row r="20" spans="2:10">
      <c r="B20" s="20"/>
      <c r="C20" s="175"/>
      <c r="D20" s="20"/>
      <c r="E20" s="175"/>
      <c r="F20" s="20"/>
      <c r="G20" s="175"/>
      <c r="H20" s="20"/>
      <c r="I20" s="176"/>
      <c r="J20" s="75"/>
    </row>
    <row r="21" spans="2:10">
      <c r="B21" s="20"/>
      <c r="C21" s="175"/>
      <c r="D21" s="20"/>
      <c r="E21" s="175"/>
      <c r="F21" s="20"/>
      <c r="G21" s="175"/>
      <c r="H21" s="20"/>
      <c r="I21" s="176"/>
      <c r="J21" s="75"/>
    </row>
    <row r="22" spans="2:10">
      <c r="B22" s="20"/>
      <c r="C22" s="175"/>
      <c r="D22" s="20"/>
      <c r="E22" s="175"/>
      <c r="F22" s="20"/>
      <c r="G22" s="175"/>
      <c r="H22" s="20"/>
      <c r="I22" s="176"/>
      <c r="J22" s="75"/>
    </row>
    <row r="23" spans="2:10">
      <c r="B23" s="20"/>
      <c r="C23" s="175"/>
      <c r="D23" s="20"/>
      <c r="E23" s="175"/>
      <c r="F23" s="20"/>
      <c r="G23" s="175"/>
      <c r="H23" s="20"/>
      <c r="I23" s="176"/>
      <c r="J23" s="75"/>
    </row>
    <row r="24" spans="2:10">
      <c r="B24" s="20"/>
      <c r="C24" s="175"/>
      <c r="D24" s="20"/>
      <c r="E24" s="175"/>
      <c r="F24" s="20"/>
      <c r="G24" s="175"/>
      <c r="H24" s="20"/>
      <c r="I24" s="176"/>
      <c r="J24" s="75"/>
    </row>
    <row r="25" spans="2:10">
      <c r="B25" s="20"/>
      <c r="C25" s="175"/>
      <c r="D25" s="20"/>
      <c r="E25" s="175"/>
      <c r="F25" s="20"/>
      <c r="G25" s="175"/>
      <c r="H25" s="20"/>
      <c r="I25" s="176"/>
      <c r="J25" s="75"/>
    </row>
    <row r="26" spans="2:10">
      <c r="B26" s="20"/>
      <c r="C26" s="175"/>
      <c r="D26" s="20"/>
      <c r="E26" s="175"/>
      <c r="F26" s="20"/>
      <c r="G26" s="175"/>
      <c r="H26" s="20"/>
      <c r="I26" s="176"/>
      <c r="J26" s="75"/>
    </row>
    <row r="27" spans="2:10">
      <c r="B27" s="20"/>
      <c r="C27" s="175"/>
      <c r="D27" s="20"/>
      <c r="E27" s="175"/>
      <c r="F27" s="20"/>
      <c r="G27" s="175"/>
      <c r="H27" s="20"/>
      <c r="I27" s="176"/>
      <c r="J27" s="75"/>
    </row>
    <row r="28" spans="2:10">
      <c r="B28" s="20"/>
      <c r="C28" s="175"/>
      <c r="D28" s="20"/>
      <c r="E28" s="175"/>
      <c r="F28" s="20"/>
      <c r="G28" s="175"/>
      <c r="H28" s="20"/>
      <c r="I28" s="176"/>
      <c r="J28" s="75"/>
    </row>
    <row r="29" spans="2:10">
      <c r="B29" s="20"/>
      <c r="C29" s="175"/>
      <c r="D29" s="20"/>
      <c r="E29" s="175"/>
      <c r="F29" s="20"/>
      <c r="G29" s="175"/>
      <c r="H29" s="20"/>
      <c r="I29" s="176"/>
      <c r="J29" s="75"/>
    </row>
    <row r="30" spans="2:10" ht="15" thickBot="1">
      <c r="B30" s="21"/>
      <c r="C30" s="177"/>
      <c r="D30" s="21"/>
      <c r="E30" s="177"/>
      <c r="F30" s="21"/>
      <c r="G30" s="177"/>
      <c r="H30" s="21"/>
      <c r="I30" s="178"/>
      <c r="J30" s="75"/>
    </row>
    <row r="31" spans="2:10" ht="15" thickTop="1"/>
    <row r="38" spans="4:6" ht="18.45">
      <c r="D38" s="130" t="s">
        <v>215</v>
      </c>
      <c r="E38" s="131" t="s">
        <v>216</v>
      </c>
      <c r="F38" s="130" t="s">
        <v>217</v>
      </c>
    </row>
    <row r="57" spans="29:29">
      <c r="AC57" t="s">
        <v>262</v>
      </c>
    </row>
  </sheetData>
  <mergeCells count="7">
    <mergeCell ref="H2:J2"/>
    <mergeCell ref="C3:D3"/>
    <mergeCell ref="E3:F3"/>
    <mergeCell ref="G3:H3"/>
    <mergeCell ref="C4:D4"/>
    <mergeCell ref="E4:F4"/>
    <mergeCell ref="G4:H4"/>
  </mergeCells>
  <pageMargins left="0.7" right="0.7" top="0.75" bottom="0.75" header="0.3" footer="0.3"/>
  <drawing r:id="rId1"/>
  <legacyDrawing r:id="rId2"/>
  <oleObjects>
    <mc:AlternateContent xmlns:mc="http://schemas.openxmlformats.org/markup-compatibility/2006">
      <mc:Choice Requires="x14">
        <oleObject progId="Visio.Drawing.15" shapeId="20481" r:id="rId3">
          <objectPr defaultSize="0" autoPict="0" r:id="rId4">
            <anchor moveWithCells="1">
              <from>
                <xdr:col>3</xdr:col>
                <xdr:colOff>59871</xdr:colOff>
                <xdr:row>5</xdr:row>
                <xdr:rowOff>10886</xdr:rowOff>
              </from>
              <to>
                <xdr:col>3</xdr:col>
                <xdr:colOff>647700</xdr:colOff>
                <xdr:row>6</xdr:row>
                <xdr:rowOff>21771</xdr:rowOff>
              </to>
            </anchor>
          </objectPr>
        </oleObject>
      </mc:Choice>
      <mc:Fallback>
        <oleObject progId="Visio.Drawing.15" shapeId="20481" r:id="rId3"/>
      </mc:Fallback>
    </mc:AlternateContent>
    <mc:AlternateContent xmlns:mc="http://schemas.openxmlformats.org/markup-compatibility/2006">
      <mc:Choice Requires="x14">
        <oleObject progId="Visio.Drawing.15" shapeId="20482" r:id="rId5">
          <objectPr defaultSize="0" autoPict="0" r:id="rId4">
            <anchor moveWithCells="1">
              <from>
                <xdr:col>5</xdr:col>
                <xdr:colOff>59871</xdr:colOff>
                <xdr:row>6</xdr:row>
                <xdr:rowOff>10886</xdr:rowOff>
              </from>
              <to>
                <xdr:col>5</xdr:col>
                <xdr:colOff>647700</xdr:colOff>
                <xdr:row>6</xdr:row>
                <xdr:rowOff>174171</xdr:rowOff>
              </to>
            </anchor>
          </objectPr>
        </oleObject>
      </mc:Choice>
      <mc:Fallback>
        <oleObject progId="Visio.Drawing.15" shapeId="20482" r:id="rId5"/>
      </mc:Fallback>
    </mc:AlternateContent>
    <mc:AlternateContent xmlns:mc="http://schemas.openxmlformats.org/markup-compatibility/2006">
      <mc:Choice Requires="x14">
        <oleObject progId="Visio.Drawing.15" shapeId="20483" r:id="rId6">
          <objectPr defaultSize="0" autoPict="0" r:id="rId4">
            <anchor moveWithCells="1">
              <from>
                <xdr:col>7</xdr:col>
                <xdr:colOff>59871</xdr:colOff>
                <xdr:row>5</xdr:row>
                <xdr:rowOff>10886</xdr:rowOff>
              </from>
              <to>
                <xdr:col>7</xdr:col>
                <xdr:colOff>647700</xdr:colOff>
                <xdr:row>6</xdr:row>
                <xdr:rowOff>21771</xdr:rowOff>
              </to>
            </anchor>
          </objectPr>
        </oleObject>
      </mc:Choice>
      <mc:Fallback>
        <oleObject progId="Visio.Drawing.15" shapeId="20483" r:id="rId6"/>
      </mc:Fallback>
    </mc:AlternateContent>
    <mc:AlternateContent xmlns:mc="http://schemas.openxmlformats.org/markup-compatibility/2006">
      <mc:Choice Requires="x14">
        <oleObject progId="Visio.Drawing.15" shapeId="20484" r:id="rId7">
          <objectPr defaultSize="0" autoPict="0" r:id="rId4">
            <anchor moveWithCells="1">
              <from>
                <xdr:col>7</xdr:col>
                <xdr:colOff>59871</xdr:colOff>
                <xdr:row>6</xdr:row>
                <xdr:rowOff>10886</xdr:rowOff>
              </from>
              <to>
                <xdr:col>7</xdr:col>
                <xdr:colOff>647700</xdr:colOff>
                <xdr:row>6</xdr:row>
                <xdr:rowOff>163286</xdr:rowOff>
              </to>
            </anchor>
          </objectPr>
        </oleObject>
      </mc:Choice>
      <mc:Fallback>
        <oleObject progId="Visio.Drawing.15" shapeId="20484" r:id="rId7"/>
      </mc:Fallback>
    </mc:AlternateContent>
  </oleObjects>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dimension ref="C3:H32"/>
  <sheetViews>
    <sheetView workbookViewId="0"/>
  </sheetViews>
  <sheetFormatPr defaultRowHeight="14.6"/>
  <cols>
    <col min="3" max="3" width="12.3046875" customWidth="1"/>
    <col min="4" max="4" width="2.69140625" customWidth="1"/>
    <col min="5" max="5" width="23" customWidth="1"/>
    <col min="6" max="6" width="50.84375" customWidth="1"/>
    <col min="7" max="8" width="24.69140625" customWidth="1"/>
  </cols>
  <sheetData>
    <row r="3" spans="3:8" ht="21" thickBot="1">
      <c r="E3" s="2561" t="s">
        <v>263</v>
      </c>
      <c r="F3" s="2561"/>
      <c r="G3" s="179"/>
    </row>
    <row r="4" spans="3:8" ht="15" thickTop="1">
      <c r="C4" s="76"/>
      <c r="D4" s="180"/>
      <c r="E4" s="93" t="s">
        <v>264</v>
      </c>
      <c r="F4" s="181" t="s">
        <v>264</v>
      </c>
      <c r="G4" s="2562" t="s">
        <v>265</v>
      </c>
      <c r="H4" s="2563"/>
    </row>
    <row r="5" spans="3:8" ht="18.45">
      <c r="C5" s="13" t="s">
        <v>226</v>
      </c>
      <c r="D5" s="182"/>
      <c r="E5" s="183" t="s">
        <v>266</v>
      </c>
      <c r="F5" s="184" t="s">
        <v>267</v>
      </c>
      <c r="G5" s="2564" t="s">
        <v>268</v>
      </c>
      <c r="H5" s="2565"/>
    </row>
    <row r="6" spans="3:8" ht="15" thickBot="1">
      <c r="C6" s="14"/>
      <c r="D6" s="185"/>
      <c r="E6" s="186"/>
      <c r="F6" s="187"/>
      <c r="G6" s="21" t="s">
        <v>259</v>
      </c>
      <c r="H6" s="164" t="s">
        <v>232</v>
      </c>
    </row>
    <row r="7" spans="3:8" ht="15" thickTop="1">
      <c r="C7" s="167">
        <v>1</v>
      </c>
      <c r="D7" s="188"/>
      <c r="E7" s="20" t="s">
        <v>269</v>
      </c>
      <c r="F7" s="189" t="s">
        <v>270</v>
      </c>
      <c r="G7" s="167" t="s">
        <v>260</v>
      </c>
      <c r="H7" s="167">
        <v>50</v>
      </c>
    </row>
    <row r="8" spans="3:8">
      <c r="C8" s="20">
        <v>2</v>
      </c>
      <c r="D8" s="190"/>
      <c r="E8" s="20" t="s">
        <v>269</v>
      </c>
      <c r="F8" s="191" t="s">
        <v>271</v>
      </c>
      <c r="G8" s="20" t="s">
        <v>238</v>
      </c>
      <c r="H8" s="20">
        <v>12</v>
      </c>
    </row>
    <row r="9" spans="3:8">
      <c r="C9" s="20"/>
      <c r="D9" s="190"/>
      <c r="E9" s="20"/>
      <c r="F9" s="191"/>
      <c r="G9" s="20"/>
      <c r="H9" s="20"/>
    </row>
    <row r="10" spans="3:8">
      <c r="C10" s="20"/>
      <c r="D10" s="192"/>
      <c r="E10" s="23"/>
      <c r="F10" s="20"/>
      <c r="G10" s="20"/>
      <c r="H10" s="20"/>
    </row>
    <row r="11" spans="3:8">
      <c r="C11" s="20"/>
      <c r="D11" s="190"/>
      <c r="E11" s="20"/>
      <c r="F11" s="191"/>
      <c r="G11" s="20"/>
      <c r="H11" s="20"/>
    </row>
    <row r="12" spans="3:8">
      <c r="C12" s="20"/>
      <c r="D12" s="190"/>
      <c r="E12" s="20"/>
      <c r="F12" s="191"/>
      <c r="G12" s="20"/>
      <c r="H12" s="20"/>
    </row>
    <row r="13" spans="3:8">
      <c r="C13" s="20"/>
      <c r="D13" s="190"/>
      <c r="E13" s="20"/>
      <c r="F13" s="191"/>
      <c r="G13" s="20"/>
      <c r="H13" s="20"/>
    </row>
    <row r="14" spans="3:8">
      <c r="C14" s="20"/>
      <c r="D14" s="190"/>
      <c r="E14" s="20"/>
      <c r="F14" s="191"/>
      <c r="G14" s="20"/>
      <c r="H14" s="20"/>
    </row>
    <row r="15" spans="3:8">
      <c r="C15" s="20"/>
      <c r="D15" s="190"/>
      <c r="E15" s="20"/>
      <c r="F15" s="191"/>
      <c r="G15" s="20"/>
      <c r="H15" s="20"/>
    </row>
    <row r="16" spans="3:8">
      <c r="C16" s="20"/>
      <c r="D16" s="190"/>
      <c r="E16" s="20"/>
      <c r="F16" s="191"/>
      <c r="G16" s="20"/>
      <c r="H16" s="20"/>
    </row>
    <row r="17" spans="3:8">
      <c r="C17" s="20"/>
      <c r="D17" s="190"/>
      <c r="E17" s="20"/>
      <c r="F17" s="191"/>
      <c r="G17" s="20"/>
      <c r="H17" s="20"/>
    </row>
    <row r="18" spans="3:8">
      <c r="C18" s="20"/>
      <c r="D18" s="190"/>
      <c r="E18" s="20"/>
      <c r="F18" s="191"/>
      <c r="G18" s="20"/>
      <c r="H18" s="20"/>
    </row>
    <row r="19" spans="3:8">
      <c r="C19" s="20"/>
      <c r="D19" s="190"/>
      <c r="E19" s="20"/>
      <c r="F19" s="191"/>
      <c r="G19" s="20"/>
      <c r="H19" s="20"/>
    </row>
    <row r="20" spans="3:8">
      <c r="C20" s="20"/>
      <c r="D20" s="190"/>
      <c r="E20" s="20"/>
      <c r="F20" s="191"/>
      <c r="G20" s="20"/>
      <c r="H20" s="20"/>
    </row>
    <row r="21" spans="3:8">
      <c r="C21" s="20"/>
      <c r="D21" s="190"/>
      <c r="E21" s="20"/>
      <c r="F21" s="191"/>
      <c r="G21" s="20"/>
      <c r="H21" s="20"/>
    </row>
    <row r="22" spans="3:8">
      <c r="C22" s="20"/>
      <c r="D22" s="190"/>
      <c r="E22" s="20"/>
      <c r="F22" s="191"/>
      <c r="G22" s="20"/>
      <c r="H22" s="20"/>
    </row>
    <row r="23" spans="3:8">
      <c r="C23" s="20"/>
      <c r="D23" s="190"/>
      <c r="E23" s="20"/>
      <c r="F23" s="191"/>
      <c r="G23" s="20"/>
      <c r="H23" s="20"/>
    </row>
    <row r="24" spans="3:8">
      <c r="C24" s="20"/>
      <c r="D24" s="190"/>
      <c r="E24" s="20"/>
      <c r="F24" s="191"/>
      <c r="G24" s="20"/>
      <c r="H24" s="20"/>
    </row>
    <row r="25" spans="3:8">
      <c r="C25" s="20"/>
      <c r="D25" s="190"/>
      <c r="E25" s="20"/>
      <c r="F25" s="191"/>
      <c r="G25" s="20"/>
      <c r="H25" s="20"/>
    </row>
    <row r="26" spans="3:8">
      <c r="C26" s="20"/>
      <c r="D26" s="190"/>
      <c r="E26" s="20"/>
      <c r="F26" s="191"/>
      <c r="G26" s="20"/>
      <c r="H26" s="20"/>
    </row>
    <row r="27" spans="3:8">
      <c r="C27" s="20"/>
      <c r="D27" s="190"/>
      <c r="E27" s="20"/>
      <c r="F27" s="191"/>
      <c r="G27" s="20"/>
      <c r="H27" s="20"/>
    </row>
    <row r="28" spans="3:8">
      <c r="C28" s="20"/>
      <c r="D28" s="190"/>
      <c r="E28" s="20"/>
      <c r="F28" s="191"/>
      <c r="G28" s="20"/>
      <c r="H28" s="20"/>
    </row>
    <row r="29" spans="3:8">
      <c r="C29" s="20"/>
      <c r="D29" s="190"/>
      <c r="E29" s="20"/>
      <c r="F29" s="191"/>
      <c r="G29" s="20"/>
      <c r="H29" s="20"/>
    </row>
    <row r="30" spans="3:8">
      <c r="C30" s="20"/>
      <c r="D30" s="190"/>
      <c r="E30" s="20"/>
      <c r="F30" s="191"/>
      <c r="G30" s="20"/>
      <c r="H30" s="20"/>
    </row>
    <row r="31" spans="3:8" ht="15" thickBot="1">
      <c r="C31" s="21"/>
      <c r="D31" s="193"/>
      <c r="E31" s="21"/>
      <c r="F31" s="194"/>
      <c r="G31" s="21"/>
      <c r="H31" s="21"/>
    </row>
    <row r="32" spans="3:8" ht="15" thickTop="1"/>
  </sheetData>
  <mergeCells count="3">
    <mergeCell ref="E3:F3"/>
    <mergeCell ref="G4:H4"/>
    <mergeCell ref="G5:H5"/>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92D050"/>
  </sheetPr>
  <dimension ref="B1:X9"/>
  <sheetViews>
    <sheetView workbookViewId="0"/>
  </sheetViews>
  <sheetFormatPr defaultRowHeight="14.6"/>
  <cols>
    <col min="2" max="2" width="14.69140625" customWidth="1"/>
    <col min="3" max="3" width="18.69140625" customWidth="1"/>
    <col min="4" max="4" width="16.69140625" customWidth="1"/>
    <col min="5" max="5" width="66.69140625" customWidth="1"/>
    <col min="6" max="6" width="98.69140625" customWidth="1"/>
    <col min="7" max="7" width="56.69140625" customWidth="1"/>
    <col min="8" max="8" width="30.69140625" customWidth="1"/>
    <col min="9" max="9" width="52.69140625" customWidth="1"/>
    <col min="10" max="10" width="24.69140625" customWidth="1"/>
    <col min="11" max="11" width="30.69140625" customWidth="1"/>
    <col min="12" max="12" width="20.69140625" customWidth="1"/>
    <col min="13" max="14" width="26.69140625" customWidth="1"/>
    <col min="15" max="15" width="20.69140625" customWidth="1"/>
    <col min="16" max="16" width="26.69140625" customWidth="1"/>
    <col min="17" max="17" width="30.69140625" customWidth="1"/>
    <col min="18" max="18" width="20.69140625" customWidth="1"/>
    <col min="19" max="19" width="26.69140625" customWidth="1"/>
    <col min="20" max="20" width="30.69140625" customWidth="1"/>
    <col min="21" max="21" width="52.69140625" customWidth="1"/>
    <col min="22" max="22" width="46.69140625" customWidth="1"/>
    <col min="23" max="23" width="16.69140625" customWidth="1"/>
    <col min="24" max="24" width="20.69140625" customWidth="1"/>
  </cols>
  <sheetData>
    <row r="1" spans="2:24" ht="19.3" thickTop="1" thickBot="1">
      <c r="E1" s="2094" t="s">
        <v>1144</v>
      </c>
      <c r="F1" s="2095"/>
      <c r="G1" s="2095"/>
      <c r="H1" s="2095"/>
      <c r="I1" s="2095"/>
      <c r="J1" s="2095"/>
      <c r="K1" s="2095"/>
      <c r="L1" s="2095"/>
      <c r="M1" s="2095"/>
      <c r="N1" s="2095"/>
      <c r="O1" s="2095"/>
      <c r="P1" s="2095"/>
      <c r="Q1" s="2095"/>
      <c r="R1" s="2095"/>
      <c r="S1" s="2095"/>
      <c r="T1" s="2095"/>
      <c r="U1" s="2095"/>
      <c r="V1" s="2095"/>
      <c r="W1" s="2096"/>
      <c r="X1" s="1531"/>
    </row>
    <row r="2" spans="2:24" ht="19.3" thickTop="1" thickBot="1">
      <c r="E2" s="2098" t="s">
        <v>1841</v>
      </c>
      <c r="F2" s="2099"/>
      <c r="G2" s="2100"/>
      <c r="H2" s="2115" t="s">
        <v>1842</v>
      </c>
      <c r="I2" s="2116"/>
      <c r="J2" s="2116"/>
      <c r="K2" s="2116"/>
      <c r="L2" s="2116"/>
      <c r="M2" s="2116"/>
      <c r="N2" s="2116"/>
      <c r="O2" s="2116"/>
      <c r="P2" s="2116"/>
      <c r="Q2" s="2116"/>
      <c r="R2" s="2116"/>
      <c r="S2" s="2116"/>
      <c r="T2" s="2116"/>
      <c r="U2" s="2117"/>
      <c r="V2" s="2118" t="s">
        <v>1846</v>
      </c>
      <c r="W2" s="2119"/>
      <c r="X2" s="75"/>
    </row>
    <row r="3" spans="2:24" ht="19.3" thickTop="1" thickBot="1">
      <c r="B3" s="1686" t="s">
        <v>1847</v>
      </c>
      <c r="C3" s="1686"/>
      <c r="D3" s="1686"/>
      <c r="E3" s="2101"/>
      <c r="F3" s="2102"/>
      <c r="G3" s="2103"/>
      <c r="H3" s="2107" t="s">
        <v>1811</v>
      </c>
      <c r="I3" s="2108"/>
      <c r="J3" s="2108"/>
      <c r="K3" s="2108"/>
      <c r="L3" s="2108"/>
      <c r="M3" s="2108"/>
      <c r="N3" s="2108"/>
      <c r="O3" s="2108"/>
      <c r="P3" s="2109"/>
      <c r="Q3" s="2110" t="s">
        <v>1843</v>
      </c>
      <c r="R3" s="2111"/>
      <c r="S3" s="2112"/>
      <c r="T3" s="2113" t="s">
        <v>1810</v>
      </c>
      <c r="U3" s="2114"/>
      <c r="V3" s="2120"/>
      <c r="W3" s="2121"/>
      <c r="X3" s="128"/>
    </row>
    <row r="4" spans="2:24" s="246" customFormat="1" ht="19.3" thickTop="1" thickBot="1">
      <c r="E4" s="2101"/>
      <c r="F4" s="2102"/>
      <c r="G4" s="2103"/>
      <c r="H4" s="2091" t="s">
        <v>296</v>
      </c>
      <c r="I4" s="2093"/>
      <c r="J4" s="1622"/>
      <c r="K4" s="2091" t="s">
        <v>297</v>
      </c>
      <c r="L4" s="2093"/>
      <c r="M4" s="1622"/>
      <c r="N4" s="2091" t="s">
        <v>298</v>
      </c>
      <c r="O4" s="2092"/>
      <c r="P4" s="2093"/>
      <c r="Q4" s="2091" t="s">
        <v>1176</v>
      </c>
      <c r="R4" s="2092"/>
      <c r="S4" s="2093"/>
      <c r="T4" s="2091" t="s">
        <v>1175</v>
      </c>
      <c r="U4" s="2093"/>
      <c r="V4" s="2122"/>
      <c r="W4" s="2123"/>
    </row>
    <row r="5" spans="2:24" s="246" customFormat="1" ht="19.3" thickTop="1" thickBot="1">
      <c r="E5" s="2104"/>
      <c r="F5" s="2105"/>
      <c r="G5" s="2106"/>
      <c r="H5" s="2083" t="s">
        <v>1171</v>
      </c>
      <c r="I5" s="2097"/>
      <c r="J5" s="2084"/>
      <c r="K5" s="2083" t="s">
        <v>1172</v>
      </c>
      <c r="L5" s="2097"/>
      <c r="M5" s="2084"/>
      <c r="N5" s="2083" t="s">
        <v>1173</v>
      </c>
      <c r="O5" s="2097"/>
      <c r="P5" s="2084"/>
      <c r="Q5" s="2083" t="s">
        <v>1168</v>
      </c>
      <c r="R5" s="2097"/>
      <c r="S5" s="2084"/>
      <c r="T5" s="2019" t="s">
        <v>1174</v>
      </c>
      <c r="U5" s="2020"/>
      <c r="V5" s="2083" t="s">
        <v>750</v>
      </c>
      <c r="W5" s="2084"/>
    </row>
    <row r="6" spans="2:24" s="246" customFormat="1" ht="19.3" thickTop="1" thickBot="1">
      <c r="C6" s="1527" t="s">
        <v>170</v>
      </c>
      <c r="D6" s="1627" t="s">
        <v>226</v>
      </c>
      <c r="E6" s="1684" t="s">
        <v>1797</v>
      </c>
      <c r="F6" s="1684" t="s">
        <v>1798</v>
      </c>
      <c r="G6" s="628" t="s">
        <v>731</v>
      </c>
      <c r="H6" s="1669" t="s">
        <v>133</v>
      </c>
      <c r="I6" s="1646" t="s">
        <v>172</v>
      </c>
      <c r="J6" s="1638" t="s">
        <v>1690</v>
      </c>
      <c r="K6" s="628" t="s">
        <v>147</v>
      </c>
      <c r="L6" s="628" t="s">
        <v>173</v>
      </c>
      <c r="M6" s="1525" t="s">
        <v>1689</v>
      </c>
      <c r="N6" s="1669" t="s">
        <v>150</v>
      </c>
      <c r="O6" s="1638" t="s">
        <v>1806</v>
      </c>
      <c r="P6" s="1663" t="s">
        <v>1691</v>
      </c>
      <c r="Q6" s="628" t="s">
        <v>1819</v>
      </c>
      <c r="R6" s="628" t="s">
        <v>1820</v>
      </c>
      <c r="S6" s="1668" t="s">
        <v>153</v>
      </c>
      <c r="T6" s="1668" t="s">
        <v>171</v>
      </c>
      <c r="U6" s="1670" t="s">
        <v>175</v>
      </c>
      <c r="V6" s="628" t="s">
        <v>931</v>
      </c>
      <c r="W6" s="628" t="s">
        <v>1010</v>
      </c>
    </row>
    <row r="7" spans="2:24" s="246" customFormat="1" ht="19.3" thickTop="1" thickBot="1">
      <c r="B7" s="1683" t="s">
        <v>1297</v>
      </c>
      <c r="C7" s="628" t="s">
        <v>1787</v>
      </c>
      <c r="D7" s="628" t="s">
        <v>1790</v>
      </c>
      <c r="E7" s="1684" t="s">
        <v>1799</v>
      </c>
      <c r="F7" s="1684" t="s">
        <v>1800</v>
      </c>
      <c r="G7" s="1671" t="s">
        <v>1801</v>
      </c>
      <c r="H7" s="628" t="s">
        <v>1775</v>
      </c>
      <c r="I7" s="1663" t="s">
        <v>1776</v>
      </c>
      <c r="J7" s="1672" t="s">
        <v>1804</v>
      </c>
      <c r="K7" s="628" t="s">
        <v>1777</v>
      </c>
      <c r="L7" s="628" t="s">
        <v>1779</v>
      </c>
      <c r="M7" s="628" t="s">
        <v>1805</v>
      </c>
      <c r="N7" s="628" t="s">
        <v>1782</v>
      </c>
      <c r="O7" s="1663" t="s">
        <v>1821</v>
      </c>
      <c r="P7" s="628" t="s">
        <v>1807</v>
      </c>
      <c r="Q7" s="628" t="s">
        <v>1773</v>
      </c>
      <c r="R7" s="628" t="s">
        <v>1792</v>
      </c>
      <c r="S7" s="628" t="s">
        <v>1793</v>
      </c>
      <c r="T7" s="628" t="s">
        <v>1794</v>
      </c>
      <c r="U7" s="1672" t="s">
        <v>1809</v>
      </c>
      <c r="V7" s="1685" t="s">
        <v>1844</v>
      </c>
      <c r="W7" s="1685" t="s">
        <v>1845</v>
      </c>
    </row>
    <row r="8" spans="2:24" s="1558" customFormat="1" ht="16.75" thickTop="1" thickBot="1">
      <c r="B8" s="1534" t="s">
        <v>1839</v>
      </c>
      <c r="C8" s="1535" t="str">
        <f>Work!$J$8</f>
        <v>Adversarial</v>
      </c>
      <c r="D8" s="1664">
        <f>Work!$B$8</f>
        <v>3</v>
      </c>
      <c r="E8" s="1535" t="str">
        <f>IF(Adversarial, Work!$AC$8, "n/a")</f>
        <v>Achieve results (i.e., cause adverse impacts, obtain information)</v>
      </c>
      <c r="F8" s="1535" t="str">
        <f>IF(Adversarial, Work!$AD$8, "n/a")</f>
        <v>Obtain sensitive information via exfiltration.</v>
      </c>
      <c r="G8" s="1535" t="str">
        <f>IF(Adversarial, "n/a",Work!AE8)</f>
        <v>n/a</v>
      </c>
      <c r="H8" s="1535" t="str">
        <f>IF(AND(InScope, Adversarial), Work!$O$8,"n/a")</f>
        <v>80-95+  (High)</v>
      </c>
      <c r="I8" s="1662">
        <f>IF(AND(InScope, Adversarial), Work!$P$8,"n/a")</f>
        <v>88</v>
      </c>
      <c r="J8" s="1620">
        <f>Work!$Q$8</f>
        <v>100</v>
      </c>
      <c r="K8" s="1535" t="str">
        <f>IF(InScope, IF(Adversarial, Work!$R$8,"n/a"), "n/c")</f>
        <v>5-20+   (Low)</v>
      </c>
      <c r="L8" s="1536">
        <f>IF(AND(InScope,Adversarial), Work!$S$8,"n/a")</f>
        <v>13</v>
      </c>
      <c r="M8" s="1536">
        <f>Work!$T$8</f>
        <v>100</v>
      </c>
      <c r="N8" s="1535" t="str">
        <f>IF(AND(InScope,Adversarial), Work!$U$8,"n/a")</f>
        <v>5-20+   (Low)</v>
      </c>
      <c r="O8" s="1666">
        <f>IF(AND(InScope,Adversarial), Work!$V$8,"n/a")</f>
        <v>13</v>
      </c>
      <c r="P8" s="1536">
        <f>Work!$W$8</f>
        <v>100</v>
      </c>
      <c r="Q8" s="1535" t="str">
        <f>IF(AND(InScope,Adversarial), Work!$L$8,"n/a")</f>
        <v>Adversarial</v>
      </c>
      <c r="R8" s="1535" t="str">
        <f>IF(AND(InScope,Adversarial), Work!$L$8,"n/a")</f>
        <v>Adversarial</v>
      </c>
      <c r="S8" s="1535" t="str">
        <f>Work!N8</f>
        <v>Yes</v>
      </c>
      <c r="T8" s="1535" t="str">
        <f>IF(AND(InScope, NOT(Adversarial)), Work!$X$8, "n/c")</f>
        <v>n/c</v>
      </c>
      <c r="U8" s="1667" t="str">
        <f>IF(AND(InScope, NOT(Adversarial)), Work!$Y$8, "n/c")</f>
        <v>n/c</v>
      </c>
      <c r="V8" s="1544" t="str">
        <f>Work!AF8</f>
        <v>Expected    (80-95+, High)</v>
      </c>
      <c r="W8" s="1544">
        <f>Work!AG8</f>
        <v>88</v>
      </c>
    </row>
    <row r="9" spans="2:24" ht="15" thickTop="1"/>
  </sheetData>
  <mergeCells count="18">
    <mergeCell ref="V5:W5"/>
    <mergeCell ref="V2:W4"/>
    <mergeCell ref="E1:W1"/>
    <mergeCell ref="H5:J5"/>
    <mergeCell ref="K5:M5"/>
    <mergeCell ref="N4:P4"/>
    <mergeCell ref="N5:P5"/>
    <mergeCell ref="E2:G5"/>
    <mergeCell ref="H3:P3"/>
    <mergeCell ref="T5:U5"/>
    <mergeCell ref="H4:I4"/>
    <mergeCell ref="K4:L4"/>
    <mergeCell ref="T4:U4"/>
    <mergeCell ref="Q5:S5"/>
    <mergeCell ref="Q4:S4"/>
    <mergeCell ref="Q3:S3"/>
    <mergeCell ref="T3:U3"/>
    <mergeCell ref="H2:U2"/>
  </mergeCells>
  <conditionalFormatting sqref="J7">
    <cfRule type="expression" dxfId="204" priority="10">
      <formula>SmeRatingD3</formula>
    </cfRule>
  </conditionalFormatting>
  <conditionalFormatting sqref="M7">
    <cfRule type="expression" dxfId="203" priority="8">
      <formula>SmeRatingD3</formula>
    </cfRule>
  </conditionalFormatting>
  <conditionalFormatting sqref="P7">
    <cfRule type="expression" dxfId="202" priority="6">
      <formula>SmeRatingD3</formula>
    </cfRule>
  </conditionalFormatting>
  <conditionalFormatting sqref="E6:F7 H4:P7 J7 M7">
    <cfRule type="expression" dxfId="201" priority="4">
      <formula>NOT(Adversarial)</formula>
    </cfRule>
  </conditionalFormatting>
  <conditionalFormatting sqref="G6:G7 T5:U8">
    <cfRule type="expression" dxfId="200" priority="3">
      <formula>Adversarial</formula>
    </cfRule>
  </conditionalFormatting>
  <pageMargins left="0.7" right="0.7" top="0.75" bottom="0.75" header="0.3" footer="0.3"/>
  <pageSetup orientation="portrait" verticalDpi="0" r:id="rId1"/>
  <drawing r:id="rId2"/>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900-000000000000}">
  <dimension ref="C1:AN63"/>
  <sheetViews>
    <sheetView workbookViewId="0"/>
  </sheetViews>
  <sheetFormatPr defaultRowHeight="14.6"/>
  <cols>
    <col min="2" max="2" width="9.15234375" customWidth="1"/>
    <col min="3" max="3" width="11.3046875" customWidth="1"/>
    <col min="4" max="4" width="19.53515625" customWidth="1"/>
    <col min="5" max="5" width="2.69140625" customWidth="1"/>
    <col min="6" max="11" width="22.69140625" customWidth="1"/>
    <col min="12" max="12" width="24.84375" customWidth="1"/>
    <col min="13" max="18" width="22.69140625" customWidth="1"/>
  </cols>
  <sheetData>
    <row r="1" spans="3:26">
      <c r="F1" s="31">
        <v>1</v>
      </c>
      <c r="G1" s="31">
        <f t="shared" ref="G1:Z1" si="0">1+F1</f>
        <v>2</v>
      </c>
      <c r="H1" s="31">
        <f t="shared" si="0"/>
        <v>3</v>
      </c>
      <c r="I1" s="31">
        <f t="shared" si="0"/>
        <v>4</v>
      </c>
      <c r="J1" s="31">
        <f t="shared" si="0"/>
        <v>5</v>
      </c>
      <c r="K1" s="31">
        <f t="shared" si="0"/>
        <v>6</v>
      </c>
      <c r="L1" s="31">
        <f t="shared" si="0"/>
        <v>7</v>
      </c>
      <c r="M1" s="31">
        <f t="shared" si="0"/>
        <v>8</v>
      </c>
      <c r="N1" s="31">
        <f t="shared" si="0"/>
        <v>9</v>
      </c>
      <c r="O1" s="31">
        <f t="shared" si="0"/>
        <v>10</v>
      </c>
      <c r="P1" s="31">
        <f t="shared" si="0"/>
        <v>11</v>
      </c>
      <c r="Q1">
        <f t="shared" si="0"/>
        <v>12</v>
      </c>
      <c r="R1">
        <f t="shared" si="0"/>
        <v>13</v>
      </c>
      <c r="S1">
        <f t="shared" si="0"/>
        <v>14</v>
      </c>
      <c r="T1">
        <f t="shared" si="0"/>
        <v>15</v>
      </c>
      <c r="U1">
        <f t="shared" si="0"/>
        <v>16</v>
      </c>
      <c r="V1">
        <f t="shared" si="0"/>
        <v>17</v>
      </c>
      <c r="W1">
        <f t="shared" si="0"/>
        <v>18</v>
      </c>
      <c r="X1">
        <f t="shared" si="0"/>
        <v>19</v>
      </c>
      <c r="Y1">
        <f t="shared" si="0"/>
        <v>20</v>
      </c>
      <c r="Z1">
        <f t="shared" si="0"/>
        <v>21</v>
      </c>
    </row>
    <row r="2" spans="3:26" ht="18.899999999999999" thickBot="1">
      <c r="F2" s="2568" t="s">
        <v>272</v>
      </c>
      <c r="G2" s="2568"/>
    </row>
    <row r="3" spans="3:26" ht="15" thickTop="1">
      <c r="C3" s="76"/>
      <c r="D3" s="93"/>
      <c r="E3" s="180"/>
      <c r="F3" s="81" t="s">
        <v>273</v>
      </c>
      <c r="G3" s="133" t="s">
        <v>274</v>
      </c>
      <c r="H3" s="133" t="s">
        <v>275</v>
      </c>
      <c r="I3" s="133" t="s">
        <v>276</v>
      </c>
      <c r="J3" s="133" t="s">
        <v>277</v>
      </c>
      <c r="K3" s="133" t="s">
        <v>278</v>
      </c>
      <c r="L3" s="133" t="s">
        <v>279</v>
      </c>
      <c r="M3" s="133" t="s">
        <v>280</v>
      </c>
      <c r="N3" s="133" t="s">
        <v>281</v>
      </c>
      <c r="O3" s="195" t="s">
        <v>282</v>
      </c>
      <c r="P3" s="196" t="s">
        <v>282</v>
      </c>
      <c r="Q3" s="195" t="s">
        <v>283</v>
      </c>
      <c r="R3" s="196" t="s">
        <v>284</v>
      </c>
    </row>
    <row r="4" spans="3:26" ht="32.15" thickBot="1">
      <c r="C4" s="197" t="s">
        <v>226</v>
      </c>
      <c r="D4" s="153" t="s">
        <v>227</v>
      </c>
      <c r="E4" s="182"/>
      <c r="F4" s="198" t="s">
        <v>285</v>
      </c>
      <c r="G4" s="198" t="s">
        <v>286</v>
      </c>
      <c r="H4" s="2576" t="s">
        <v>287</v>
      </c>
      <c r="I4" s="2577"/>
      <c r="J4" s="2578"/>
      <c r="K4" s="199" t="s">
        <v>288</v>
      </c>
      <c r="L4" s="199" t="s">
        <v>289</v>
      </c>
      <c r="M4" s="199" t="s">
        <v>290</v>
      </c>
      <c r="N4" s="199" t="s">
        <v>291</v>
      </c>
      <c r="O4" s="200" t="s">
        <v>292</v>
      </c>
      <c r="P4" s="201" t="s">
        <v>293</v>
      </c>
      <c r="Q4" s="202" t="s">
        <v>294</v>
      </c>
      <c r="R4" s="201" t="s">
        <v>295</v>
      </c>
    </row>
    <row r="5" spans="3:26" ht="15.45" thickTop="1" thickBot="1">
      <c r="C5" s="95"/>
      <c r="D5" s="94"/>
      <c r="E5" s="182"/>
      <c r="F5" s="83"/>
      <c r="G5" s="203"/>
      <c r="H5" s="204" t="s">
        <v>296</v>
      </c>
      <c r="I5" s="205" t="s">
        <v>297</v>
      </c>
      <c r="J5" s="206" t="s">
        <v>298</v>
      </c>
      <c r="K5" s="102"/>
      <c r="L5" s="207"/>
      <c r="M5" s="207"/>
      <c r="N5" s="207"/>
      <c r="O5" s="207"/>
      <c r="P5" s="207"/>
      <c r="Q5" s="207"/>
      <c r="R5" s="84"/>
    </row>
    <row r="6" spans="3:26" ht="15.45" thickTop="1" thickBot="1">
      <c r="C6" s="14"/>
      <c r="D6" s="186"/>
      <c r="E6" s="185"/>
      <c r="F6" s="85"/>
      <c r="G6" s="208"/>
      <c r="H6" s="2579" t="s">
        <v>232</v>
      </c>
      <c r="I6" s="2130"/>
      <c r="J6" s="2580"/>
      <c r="K6" s="209"/>
      <c r="L6" s="166" t="s">
        <v>232</v>
      </c>
      <c r="M6" s="140"/>
      <c r="N6" s="140"/>
      <c r="O6" s="140"/>
      <c r="P6" s="140"/>
      <c r="Q6" s="140"/>
      <c r="R6" s="86"/>
    </row>
    <row r="7" spans="3:26" ht="15" thickTop="1">
      <c r="C7" s="2569">
        <v>1</v>
      </c>
      <c r="D7" s="210" t="str">
        <f>'[1]F_Vul&amp;Pre_Test'!C6</f>
        <v>Workstation</v>
      </c>
      <c r="E7" s="211"/>
      <c r="F7" s="2539" t="str">
        <f>[1]E_TEvent_Test!C6</f>
        <v>Craft Phishing Attacks</v>
      </c>
      <c r="G7" s="2541" t="str">
        <f>[1]D_TSource_Test!C7</f>
        <v>Advisarial - Outsider</v>
      </c>
      <c r="H7" s="212">
        <f>[1]D_TSource_Test!F7</f>
        <v>98</v>
      </c>
      <c r="I7" s="212">
        <f>[1]D_TSource_Test!I7</f>
        <v>87</v>
      </c>
      <c r="J7" s="212">
        <f>[1]D_TSource_Test!L7</f>
        <v>98</v>
      </c>
      <c r="K7" s="2541" t="str">
        <f>[1]E_TEvent_Test!E6</f>
        <v>Confirmed</v>
      </c>
      <c r="L7" s="212">
        <f>[1]G_Likelihood_Test!D6</f>
        <v>98</v>
      </c>
      <c r="M7" s="2541" t="str">
        <f>'[1]F_Vul&amp;Pre_Test'!I6</f>
        <v>Information-Related - Controlled Unclassified Information</v>
      </c>
      <c r="N7" s="212">
        <f>'[1]F_Vul&amp;Pre_Test'!D6</f>
        <v>98</v>
      </c>
      <c r="O7" s="212">
        <f>[1]G_Likelihood_Test!H6</f>
        <v>50</v>
      </c>
      <c r="P7" s="2572" t="str">
        <f>[1]G_Likelihood_Test!I6</f>
        <v>High</v>
      </c>
      <c r="Q7" s="212">
        <f>[1]H_Impact_Test!H7</f>
        <v>50</v>
      </c>
      <c r="R7" s="2566" t="s">
        <v>260</v>
      </c>
    </row>
    <row r="8" spans="3:26" ht="15" thickBot="1">
      <c r="C8" s="2570"/>
      <c r="D8" s="213"/>
      <c r="E8" s="214"/>
      <c r="F8" s="2545"/>
      <c r="G8" s="2571"/>
      <c r="H8" s="155" t="str">
        <f>[1]D_TSource_Test!E7</f>
        <v>Very High</v>
      </c>
      <c r="I8" s="155" t="str">
        <f>[1]D_TSource_Test!H7</f>
        <v>High</v>
      </c>
      <c r="J8" s="155" t="str">
        <f>[1]D_TSource_Test!K7</f>
        <v>Very High</v>
      </c>
      <c r="K8" s="2571"/>
      <c r="L8" s="155" t="str">
        <f>[1]G_Likelihood_Test!C6</f>
        <v>Very High</v>
      </c>
      <c r="M8" s="2571"/>
      <c r="N8" s="155" t="str">
        <f>'[1]F_Vul&amp;Pre_Test'!D7</f>
        <v>Very High</v>
      </c>
      <c r="O8" s="155" t="str">
        <f>[1]G_Likelihood_Test!G6</f>
        <v>Moderate</v>
      </c>
      <c r="P8" s="2573"/>
      <c r="Q8" s="215" t="str">
        <f>[1]H_Impact_Test!G7</f>
        <v>Moderate</v>
      </c>
      <c r="R8" s="2567"/>
    </row>
    <row r="9" spans="3:26" ht="15" thickTop="1">
      <c r="C9" s="216"/>
      <c r="D9" s="216"/>
      <c r="E9" s="217"/>
      <c r="F9" s="149"/>
      <c r="G9" s="150"/>
      <c r="H9" s="150"/>
      <c r="I9" s="150"/>
      <c r="J9" s="150"/>
      <c r="K9" s="150"/>
      <c r="L9" s="150"/>
      <c r="M9" s="150"/>
      <c r="N9" s="150"/>
      <c r="O9" s="150"/>
      <c r="P9" s="150"/>
      <c r="Q9" s="150"/>
      <c r="R9" s="218"/>
    </row>
    <row r="10" spans="3:26">
      <c r="C10" s="219"/>
      <c r="D10" s="220"/>
      <c r="E10" s="221"/>
      <c r="F10" s="152"/>
      <c r="G10" s="153"/>
      <c r="H10" s="153"/>
      <c r="I10" s="153"/>
      <c r="J10" s="153"/>
      <c r="K10" s="153"/>
      <c r="L10" s="153"/>
      <c r="M10" s="153"/>
      <c r="N10" s="153"/>
      <c r="O10" s="153"/>
      <c r="P10" s="153"/>
      <c r="Q10" s="153"/>
      <c r="R10" s="222"/>
    </row>
    <row r="11" spans="3:26">
      <c r="C11" s="219"/>
      <c r="D11" s="219"/>
      <c r="E11" s="223"/>
      <c r="F11" s="152"/>
      <c r="G11" s="153"/>
      <c r="H11" s="153"/>
      <c r="I11" s="153"/>
      <c r="J11" s="153"/>
      <c r="K11" s="153"/>
      <c r="L11" s="153"/>
      <c r="M11" s="153"/>
      <c r="N11" s="153"/>
      <c r="O11" s="153"/>
      <c r="P11" s="153"/>
      <c r="Q11" s="153"/>
      <c r="R11" s="222"/>
    </row>
    <row r="12" spans="3:26">
      <c r="C12" s="219"/>
      <c r="D12" s="219"/>
      <c r="E12" s="223"/>
      <c r="F12" s="152"/>
      <c r="G12" s="153"/>
      <c r="H12" s="153"/>
      <c r="I12" s="153"/>
      <c r="J12" s="153"/>
      <c r="K12" s="153"/>
      <c r="L12" s="153"/>
      <c r="M12" s="153"/>
      <c r="N12" s="153"/>
      <c r="O12" s="153"/>
      <c r="P12" s="153"/>
      <c r="Q12" s="153"/>
      <c r="R12" s="222"/>
    </row>
    <row r="13" spans="3:26">
      <c r="C13" s="219"/>
      <c r="D13" s="219"/>
      <c r="E13" s="223"/>
      <c r="F13" s="152"/>
      <c r="G13" s="153"/>
      <c r="H13" s="153"/>
      <c r="I13" s="153"/>
      <c r="J13" s="153"/>
      <c r="K13" s="153"/>
      <c r="L13" s="153"/>
      <c r="M13" s="153"/>
      <c r="N13" s="153"/>
      <c r="O13" s="153"/>
      <c r="P13" s="153"/>
      <c r="Q13" s="153"/>
      <c r="R13" s="222"/>
    </row>
    <row r="14" spans="3:26">
      <c r="C14" s="219"/>
      <c r="D14" s="219"/>
      <c r="E14" s="223"/>
      <c r="F14" s="152"/>
      <c r="G14" s="153"/>
      <c r="H14" s="153"/>
      <c r="I14" s="153"/>
      <c r="J14" s="153"/>
      <c r="K14" s="153"/>
      <c r="L14" s="153"/>
      <c r="M14" s="153"/>
      <c r="N14" s="153"/>
      <c r="O14" s="153"/>
      <c r="P14" s="153"/>
      <c r="Q14" s="153"/>
      <c r="R14" s="222"/>
    </row>
    <row r="15" spans="3:26">
      <c r="C15" s="219"/>
      <c r="D15" s="219"/>
      <c r="E15" s="223"/>
      <c r="F15" s="152"/>
      <c r="G15" s="153"/>
      <c r="H15" s="153"/>
      <c r="I15" s="153"/>
      <c r="J15" s="153"/>
      <c r="K15" s="153"/>
      <c r="L15" s="153"/>
      <c r="M15" s="153"/>
      <c r="N15" s="153"/>
      <c r="O15" s="153"/>
      <c r="P15" s="153"/>
      <c r="Q15" s="153"/>
      <c r="R15" s="222"/>
    </row>
    <row r="16" spans="3:26">
      <c r="C16" s="219"/>
      <c r="D16" s="219"/>
      <c r="E16" s="223"/>
      <c r="F16" s="152"/>
      <c r="G16" s="153"/>
      <c r="H16" s="153"/>
      <c r="I16" s="153"/>
      <c r="J16" s="153"/>
      <c r="K16" s="153"/>
      <c r="L16" s="153"/>
      <c r="M16" s="153"/>
      <c r="N16" s="153"/>
      <c r="O16" s="153"/>
      <c r="P16" s="153"/>
      <c r="Q16" s="153"/>
      <c r="R16" s="222"/>
    </row>
    <row r="17" spans="3:37">
      <c r="C17" s="219"/>
      <c r="D17" s="219"/>
      <c r="E17" s="223"/>
      <c r="F17" s="152"/>
      <c r="G17" s="153"/>
      <c r="H17" s="153" t="s">
        <v>299</v>
      </c>
      <c r="I17" s="153"/>
      <c r="J17" s="153"/>
      <c r="K17" s="153"/>
      <c r="L17" s="153"/>
      <c r="M17" s="153"/>
      <c r="N17" s="153"/>
      <c r="O17" s="153"/>
      <c r="P17" s="153"/>
      <c r="Q17" s="153"/>
      <c r="R17" s="222"/>
    </row>
    <row r="18" spans="3:37">
      <c r="C18" s="219"/>
      <c r="D18" s="219"/>
      <c r="E18" s="223"/>
      <c r="F18" s="152"/>
      <c r="G18" s="153"/>
      <c r="H18" s="153"/>
      <c r="I18" s="153"/>
      <c r="J18" s="153"/>
      <c r="K18" s="153"/>
      <c r="L18" s="153"/>
      <c r="M18" s="153"/>
      <c r="N18" s="153"/>
      <c r="O18" s="153"/>
      <c r="P18" s="153"/>
      <c r="Q18" s="153"/>
      <c r="R18" s="222"/>
    </row>
    <row r="19" spans="3:37">
      <c r="C19" s="219"/>
      <c r="D19" s="219"/>
      <c r="E19" s="223"/>
      <c r="F19" s="152"/>
      <c r="G19" s="153"/>
      <c r="H19" s="153"/>
      <c r="I19" s="153"/>
      <c r="J19" s="153"/>
      <c r="K19" s="153"/>
      <c r="L19" s="153"/>
      <c r="M19" s="153"/>
      <c r="N19" s="153"/>
      <c r="O19" s="153"/>
      <c r="P19" s="153"/>
      <c r="Q19" s="153"/>
      <c r="R19" s="222"/>
    </row>
    <row r="20" spans="3:37">
      <c r="C20" s="219"/>
      <c r="D20" s="219"/>
      <c r="E20" s="223"/>
      <c r="F20" s="152"/>
      <c r="G20" s="153"/>
      <c r="H20" s="153"/>
      <c r="I20" s="153"/>
      <c r="J20" s="153"/>
      <c r="K20" s="153"/>
      <c r="L20" s="153"/>
      <c r="M20" s="153"/>
      <c r="N20" s="153"/>
      <c r="O20" s="153"/>
      <c r="P20" s="153"/>
      <c r="Q20" s="153"/>
      <c r="R20" s="222"/>
    </row>
    <row r="21" spans="3:37">
      <c r="C21" s="219"/>
      <c r="D21" s="219"/>
      <c r="E21" s="223"/>
      <c r="F21" s="152"/>
      <c r="G21" s="153"/>
      <c r="H21" s="153"/>
      <c r="I21" s="153"/>
      <c r="J21" s="153"/>
      <c r="K21" s="153"/>
      <c r="L21" s="153"/>
      <c r="M21" s="153"/>
      <c r="N21" s="153"/>
      <c r="O21" s="153"/>
      <c r="P21" s="153"/>
      <c r="Q21" s="153"/>
      <c r="R21" s="222"/>
    </row>
    <row r="22" spans="3:37">
      <c r="C22" s="219"/>
      <c r="D22" s="219"/>
      <c r="E22" s="223"/>
      <c r="F22" s="152"/>
      <c r="G22" s="153"/>
      <c r="H22" s="153"/>
      <c r="I22" s="153"/>
      <c r="J22" s="153"/>
      <c r="K22" s="153"/>
      <c r="L22" s="153"/>
      <c r="M22" s="153"/>
      <c r="N22" s="153"/>
      <c r="O22" s="153"/>
      <c r="P22" s="153"/>
      <c r="Q22" s="153"/>
      <c r="R22" s="222"/>
    </row>
    <row r="23" spans="3:37">
      <c r="C23" s="219"/>
      <c r="D23" s="219"/>
      <c r="E23" s="223"/>
      <c r="F23" s="152"/>
      <c r="G23" s="153"/>
      <c r="H23" s="153"/>
      <c r="I23" s="153"/>
      <c r="J23" s="153"/>
      <c r="K23" s="153"/>
      <c r="L23" s="153"/>
      <c r="M23" s="153"/>
      <c r="N23" s="153"/>
      <c r="O23" s="153"/>
      <c r="P23" s="153"/>
      <c r="Q23" s="153"/>
      <c r="R23" s="222"/>
      <c r="AK23" t="s">
        <v>262</v>
      </c>
    </row>
    <row r="24" spans="3:37">
      <c r="C24" s="219"/>
      <c r="D24" s="219"/>
      <c r="E24" s="223"/>
      <c r="F24" s="152"/>
      <c r="G24" s="153"/>
      <c r="H24" s="153"/>
      <c r="I24" s="153"/>
      <c r="J24" s="153"/>
      <c r="K24" s="153"/>
      <c r="L24" s="153"/>
      <c r="M24" s="153"/>
      <c r="N24" s="153"/>
      <c r="O24" s="153"/>
      <c r="P24" s="153"/>
      <c r="Q24" s="153"/>
      <c r="R24" s="222"/>
    </row>
    <row r="25" spans="3:37">
      <c r="C25" s="219"/>
      <c r="D25" s="219"/>
      <c r="E25" s="223"/>
      <c r="F25" s="152"/>
      <c r="G25" s="153"/>
      <c r="H25" s="153"/>
      <c r="I25" s="153"/>
      <c r="J25" s="153"/>
      <c r="K25" s="153"/>
      <c r="L25" s="153"/>
      <c r="M25" s="153"/>
      <c r="N25" s="153"/>
      <c r="O25" s="153"/>
      <c r="P25" s="153"/>
      <c r="Q25" s="153"/>
      <c r="R25" s="222"/>
    </row>
    <row r="26" spans="3:37">
      <c r="C26" s="219"/>
      <c r="D26" s="219"/>
      <c r="E26" s="223"/>
      <c r="F26" s="152"/>
      <c r="G26" s="153"/>
      <c r="H26" s="153"/>
      <c r="I26" s="153"/>
      <c r="J26" s="153"/>
      <c r="K26" s="153"/>
      <c r="L26" s="153"/>
      <c r="M26" s="153"/>
      <c r="N26" s="153"/>
      <c r="O26" s="153"/>
      <c r="P26" s="153"/>
      <c r="Q26" s="153"/>
      <c r="R26" s="222"/>
    </row>
    <row r="27" spans="3:37">
      <c r="C27" s="219"/>
      <c r="D27" s="219"/>
      <c r="E27" s="223"/>
      <c r="F27" s="152"/>
      <c r="G27" s="153"/>
      <c r="H27" s="153"/>
      <c r="I27" s="153"/>
      <c r="J27" s="153"/>
      <c r="K27" s="153"/>
      <c r="L27" s="153"/>
      <c r="M27" s="153"/>
      <c r="N27" s="153"/>
      <c r="O27" s="153"/>
      <c r="P27" s="153"/>
      <c r="Q27" s="153"/>
      <c r="R27" s="222"/>
    </row>
    <row r="28" spans="3:37">
      <c r="C28" s="219"/>
      <c r="D28" s="219"/>
      <c r="E28" s="223"/>
      <c r="F28" s="152"/>
      <c r="G28" s="153"/>
      <c r="H28" s="153"/>
      <c r="I28" s="153"/>
      <c r="J28" s="153"/>
      <c r="K28" s="153"/>
      <c r="L28" s="153"/>
      <c r="M28" s="153"/>
      <c r="N28" s="153"/>
      <c r="O28" s="153"/>
      <c r="P28" s="153"/>
      <c r="Q28" s="153"/>
      <c r="R28" s="222"/>
    </row>
    <row r="29" spans="3:37">
      <c r="C29" s="219"/>
      <c r="D29" s="219"/>
      <c r="E29" s="223"/>
      <c r="F29" s="152"/>
      <c r="G29" s="153"/>
      <c r="H29" s="153"/>
      <c r="I29" s="153"/>
      <c r="J29" s="153"/>
      <c r="K29" s="153"/>
      <c r="L29" s="153"/>
      <c r="M29" s="153"/>
      <c r="N29" s="153"/>
      <c r="O29" s="153"/>
      <c r="P29" s="153"/>
      <c r="Q29" s="153"/>
      <c r="R29" s="222"/>
    </row>
    <row r="30" spans="3:37">
      <c r="C30" s="219"/>
      <c r="D30" s="219"/>
      <c r="E30" s="223"/>
      <c r="F30" s="152"/>
      <c r="G30" s="153"/>
      <c r="H30" s="153"/>
      <c r="I30" s="153"/>
      <c r="J30" s="153"/>
      <c r="K30" s="153"/>
      <c r="L30" s="153"/>
      <c r="M30" s="153"/>
      <c r="N30" s="153"/>
      <c r="O30" s="153"/>
      <c r="P30" s="153"/>
      <c r="Q30" s="153"/>
      <c r="R30" s="222"/>
    </row>
    <row r="31" spans="3:37" ht="15" thickBot="1">
      <c r="C31" s="224"/>
      <c r="D31" s="224"/>
      <c r="E31" s="214"/>
      <c r="F31" s="154"/>
      <c r="G31" s="155"/>
      <c r="H31" s="155"/>
      <c r="I31" s="155"/>
      <c r="J31" s="155"/>
      <c r="K31" s="155"/>
      <c r="L31" s="155"/>
      <c r="M31" s="155"/>
      <c r="N31" s="155"/>
      <c r="O31" s="155"/>
      <c r="P31" s="155"/>
      <c r="Q31" s="155"/>
      <c r="R31" s="225"/>
    </row>
    <row r="32" spans="3:37" ht="15" thickTop="1"/>
    <row r="34" spans="3:40" ht="18.899999999999999" thickBot="1">
      <c r="F34" s="2568" t="s">
        <v>300</v>
      </c>
      <c r="G34" s="2568"/>
    </row>
    <row r="35" spans="3:40" ht="15" thickTop="1">
      <c r="C35" s="76"/>
      <c r="D35" s="93"/>
      <c r="E35" s="180"/>
      <c r="F35" s="81" t="s">
        <v>301</v>
      </c>
      <c r="G35" s="133" t="s">
        <v>302</v>
      </c>
      <c r="H35" s="133" t="s">
        <v>303</v>
      </c>
      <c r="I35" s="133" t="s">
        <v>278</v>
      </c>
      <c r="J35" s="133" t="s">
        <v>304</v>
      </c>
      <c r="K35" s="133" t="s">
        <v>280</v>
      </c>
      <c r="L35" s="133" t="s">
        <v>281</v>
      </c>
      <c r="M35" s="133" t="s">
        <v>282</v>
      </c>
      <c r="N35" s="133" t="s">
        <v>305</v>
      </c>
      <c r="O35" s="195" t="s">
        <v>283</v>
      </c>
      <c r="P35" s="196" t="s">
        <v>284</v>
      </c>
      <c r="AN35" t="s">
        <v>262</v>
      </c>
    </row>
    <row r="36" spans="3:40" ht="47.6">
      <c r="C36" s="197" t="s">
        <v>226</v>
      </c>
      <c r="D36" s="153" t="s">
        <v>227</v>
      </c>
      <c r="E36" s="182"/>
      <c r="F36" s="226" t="s">
        <v>285</v>
      </c>
      <c r="G36" s="227" t="s">
        <v>286</v>
      </c>
      <c r="H36" s="227" t="s">
        <v>306</v>
      </c>
      <c r="I36" s="227" t="s">
        <v>288</v>
      </c>
      <c r="J36" s="228" t="s">
        <v>307</v>
      </c>
      <c r="K36" s="228" t="s">
        <v>290</v>
      </c>
      <c r="L36" s="228" t="s">
        <v>308</v>
      </c>
      <c r="M36" s="228" t="s">
        <v>309</v>
      </c>
      <c r="N36" s="227" t="s">
        <v>293</v>
      </c>
      <c r="O36" s="229" t="s">
        <v>294</v>
      </c>
      <c r="P36" s="230" t="s">
        <v>295</v>
      </c>
    </row>
    <row r="37" spans="3:40" ht="15" thickBot="1">
      <c r="C37" s="14"/>
      <c r="D37" s="186"/>
      <c r="E37" s="185"/>
      <c r="F37" s="85"/>
      <c r="G37" s="140"/>
      <c r="H37" s="140"/>
      <c r="I37" s="140"/>
      <c r="J37" s="140"/>
      <c r="K37" s="140"/>
      <c r="L37" s="140"/>
      <c r="M37" s="140"/>
      <c r="N37" s="140"/>
      <c r="O37" s="208"/>
      <c r="P37" s="231"/>
    </row>
    <row r="38" spans="3:40" ht="29.6" thickTop="1">
      <c r="C38" s="2569">
        <v>2</v>
      </c>
      <c r="D38" s="210" t="str">
        <f>'[1]F_Vul&amp;Pre_Test'!C8</f>
        <v>Data Center (Server Complex)</v>
      </c>
      <c r="E38" s="211"/>
      <c r="F38" s="2539" t="str">
        <f>[1]E_TEvent_Test!C7</f>
        <v>Resource Depletion</v>
      </c>
      <c r="G38" s="2541" t="str">
        <f>[1]E_TEvent_Test!D7</f>
        <v>Environmental Controls - Infrastructure - Failure/Outage Power</v>
      </c>
      <c r="H38" s="212">
        <f>[1]D_TSource_Test!F40</f>
        <v>12</v>
      </c>
      <c r="I38" s="2541" t="str">
        <f>[1]E_TEvent_Test!E7</f>
        <v>Confirmed</v>
      </c>
      <c r="J38" s="212">
        <f>[1]G_Likelihood_Test!F7</f>
        <v>98</v>
      </c>
      <c r="K38" s="2541" t="str">
        <f>'[1]F_Vul&amp;Pre_Test'!I8</f>
        <v>Technical - Functional - Single-user</v>
      </c>
      <c r="L38" s="212">
        <f>'[1]F_Vul&amp;Pre_Test'!J8</f>
        <v>98</v>
      </c>
      <c r="M38" s="212">
        <f>[1]G_Likelihood_Test!H7</f>
        <v>12</v>
      </c>
      <c r="N38" s="2572" t="str">
        <f>[1]G_Likelihood_Test!I7</f>
        <v>Moderate</v>
      </c>
      <c r="O38" s="232">
        <f>[1]H_Impact_Test!H8</f>
        <v>12</v>
      </c>
      <c r="P38" s="2574" t="s">
        <v>238</v>
      </c>
    </row>
    <row r="39" spans="3:40" ht="15" thickBot="1">
      <c r="C39" s="2570"/>
      <c r="D39" s="233"/>
      <c r="E39" s="214"/>
      <c r="F39" s="2545"/>
      <c r="G39" s="2571"/>
      <c r="H39" s="155" t="str">
        <f>[1]D_TSource_Test!E40</f>
        <v>Low</v>
      </c>
      <c r="I39" s="2571"/>
      <c r="J39" s="155" t="str">
        <f>[1]G_Likelihood_Test!$E$7</f>
        <v>Very High</v>
      </c>
      <c r="K39" s="2571"/>
      <c r="L39" s="155" t="str">
        <f>'[1]F_Vul&amp;Pre_Test'!J9</f>
        <v>Very High</v>
      </c>
      <c r="M39" s="155" t="str">
        <f>[1]G_Likelihood_Test!$G$7</f>
        <v>Low</v>
      </c>
      <c r="N39" s="2573"/>
      <c r="O39" s="234" t="str">
        <f>[1]H_Impact_Test!G8</f>
        <v>Low</v>
      </c>
      <c r="P39" s="2575"/>
    </row>
    <row r="40" spans="3:40" ht="15" thickTop="1">
      <c r="C40" s="216"/>
      <c r="D40" s="216"/>
      <c r="E40" s="217"/>
      <c r="F40" s="149"/>
      <c r="G40" s="150"/>
      <c r="H40" s="150"/>
      <c r="I40" s="150"/>
      <c r="J40" s="150"/>
      <c r="K40" s="150"/>
      <c r="L40" s="150"/>
      <c r="M40" s="150"/>
      <c r="N40" s="150"/>
      <c r="O40" s="235"/>
      <c r="P40" s="236"/>
    </row>
    <row r="41" spans="3:40">
      <c r="C41" s="219"/>
      <c r="D41" s="220"/>
      <c r="E41" s="221"/>
      <c r="F41" s="152"/>
      <c r="G41" s="153"/>
      <c r="H41" s="153"/>
      <c r="I41" s="153"/>
      <c r="J41" s="153"/>
      <c r="K41" s="153"/>
      <c r="L41" s="153"/>
      <c r="M41" s="153"/>
      <c r="N41" s="153"/>
      <c r="O41" s="237"/>
      <c r="P41" s="238"/>
    </row>
    <row r="42" spans="3:40">
      <c r="C42" s="219"/>
      <c r="D42" s="219"/>
      <c r="E42" s="223"/>
      <c r="F42" s="152"/>
      <c r="G42" s="153"/>
      <c r="H42" s="153"/>
      <c r="I42" s="153"/>
      <c r="J42" s="153"/>
      <c r="K42" s="153"/>
      <c r="L42" s="153"/>
      <c r="M42" s="153"/>
      <c r="N42" s="153"/>
      <c r="O42" s="237"/>
      <c r="P42" s="238"/>
    </row>
    <row r="43" spans="3:40">
      <c r="C43" s="219"/>
      <c r="D43" s="219"/>
      <c r="E43" s="223"/>
      <c r="F43" s="152"/>
      <c r="G43" s="153"/>
      <c r="H43" s="153"/>
      <c r="I43" s="153"/>
      <c r="J43" s="153"/>
      <c r="K43" s="153"/>
      <c r="L43" s="153"/>
      <c r="M43" s="153"/>
      <c r="N43" s="153"/>
      <c r="O43" s="237"/>
      <c r="P43" s="238"/>
    </row>
    <row r="44" spans="3:40">
      <c r="C44" s="219"/>
      <c r="D44" s="219"/>
      <c r="E44" s="223"/>
      <c r="F44" s="152"/>
      <c r="G44" s="153"/>
      <c r="H44" s="153"/>
      <c r="I44" s="153"/>
      <c r="J44" s="153"/>
      <c r="K44" s="153"/>
      <c r="L44" s="153"/>
      <c r="M44" s="153"/>
      <c r="N44" s="153"/>
      <c r="O44" s="237"/>
      <c r="P44" s="238"/>
    </row>
    <row r="45" spans="3:40">
      <c r="C45" s="219"/>
      <c r="D45" s="219"/>
      <c r="E45" s="223"/>
      <c r="F45" s="152"/>
      <c r="G45" s="153"/>
      <c r="H45" s="153"/>
      <c r="I45" s="153"/>
      <c r="J45" s="153"/>
      <c r="K45" s="153"/>
      <c r="L45" s="153"/>
      <c r="M45" s="153"/>
      <c r="N45" s="153"/>
      <c r="O45" s="237"/>
      <c r="P45" s="238"/>
    </row>
    <row r="46" spans="3:40">
      <c r="C46" s="219"/>
      <c r="D46" s="219"/>
      <c r="E46" s="223"/>
      <c r="F46" s="152"/>
      <c r="G46" s="153"/>
      <c r="H46" s="153"/>
      <c r="I46" s="153"/>
      <c r="J46" s="153"/>
      <c r="K46" s="153"/>
      <c r="L46" s="153"/>
      <c r="M46" s="153"/>
      <c r="N46" s="153"/>
      <c r="O46" s="237"/>
      <c r="P46" s="238"/>
    </row>
    <row r="47" spans="3:40">
      <c r="C47" s="219"/>
      <c r="D47" s="219"/>
      <c r="E47" s="223"/>
      <c r="F47" s="152"/>
      <c r="G47" s="153"/>
      <c r="H47" s="153"/>
      <c r="I47" s="153"/>
      <c r="J47" s="153"/>
      <c r="K47" s="153"/>
      <c r="L47" s="153"/>
      <c r="M47" s="153"/>
      <c r="N47" s="153"/>
      <c r="O47" s="237"/>
      <c r="P47" s="238"/>
    </row>
    <row r="48" spans="3:40">
      <c r="C48" s="219"/>
      <c r="D48" s="219"/>
      <c r="E48" s="223"/>
      <c r="F48" s="152"/>
      <c r="G48" s="153"/>
      <c r="H48" s="153"/>
      <c r="I48" s="153"/>
      <c r="J48" s="153"/>
      <c r="K48" s="153"/>
      <c r="L48" s="153"/>
      <c r="M48" s="153"/>
      <c r="N48" s="153"/>
      <c r="O48" s="237"/>
      <c r="P48" s="238"/>
    </row>
    <row r="49" spans="3:16">
      <c r="C49" s="219"/>
      <c r="D49" s="219"/>
      <c r="E49" s="223"/>
      <c r="F49" s="152"/>
      <c r="G49" s="153"/>
      <c r="H49" s="153"/>
      <c r="I49" s="153"/>
      <c r="J49" s="153"/>
      <c r="K49" s="153"/>
      <c r="L49" s="153"/>
      <c r="M49" s="153"/>
      <c r="N49" s="153"/>
      <c r="O49" s="237"/>
      <c r="P49" s="238"/>
    </row>
    <row r="50" spans="3:16">
      <c r="C50" s="219"/>
      <c r="D50" s="219"/>
      <c r="E50" s="223"/>
      <c r="F50" s="152"/>
      <c r="G50" s="153"/>
      <c r="H50" s="153"/>
      <c r="I50" s="153"/>
      <c r="J50" s="153"/>
      <c r="K50" s="153"/>
      <c r="L50" s="153"/>
      <c r="M50" s="153"/>
      <c r="N50" s="153"/>
      <c r="O50" s="237"/>
      <c r="P50" s="238"/>
    </row>
    <row r="51" spans="3:16">
      <c r="C51" s="219"/>
      <c r="D51" s="219"/>
      <c r="E51" s="223"/>
      <c r="F51" s="152"/>
      <c r="G51" s="153"/>
      <c r="H51" s="153"/>
      <c r="I51" s="153"/>
      <c r="J51" s="153"/>
      <c r="K51" s="153"/>
      <c r="L51" s="153"/>
      <c r="M51" s="153"/>
      <c r="N51" s="153"/>
      <c r="O51" s="237"/>
      <c r="P51" s="238"/>
    </row>
    <row r="52" spans="3:16">
      <c r="C52" s="219"/>
      <c r="D52" s="219"/>
      <c r="E52" s="223"/>
      <c r="F52" s="152"/>
      <c r="G52" s="153"/>
      <c r="H52" s="153"/>
      <c r="I52" s="153"/>
      <c r="J52" s="153"/>
      <c r="K52" s="153"/>
      <c r="L52" s="153"/>
      <c r="M52" s="153"/>
      <c r="N52" s="153"/>
      <c r="O52" s="237"/>
      <c r="P52" s="238"/>
    </row>
    <row r="53" spans="3:16">
      <c r="C53" s="219"/>
      <c r="D53" s="219"/>
      <c r="E53" s="223"/>
      <c r="F53" s="152"/>
      <c r="G53" s="153"/>
      <c r="H53" s="153"/>
      <c r="I53" s="153"/>
      <c r="J53" s="153"/>
      <c r="K53" s="153"/>
      <c r="L53" s="153"/>
      <c r="M53" s="153"/>
      <c r="N53" s="153"/>
      <c r="O53" s="237"/>
      <c r="P53" s="238"/>
    </row>
    <row r="54" spans="3:16">
      <c r="C54" s="219"/>
      <c r="D54" s="219"/>
      <c r="E54" s="223"/>
      <c r="F54" s="152"/>
      <c r="G54" s="153"/>
      <c r="H54" s="153"/>
      <c r="I54" s="153"/>
      <c r="J54" s="153"/>
      <c r="K54" s="153"/>
      <c r="L54" s="153"/>
      <c r="M54" s="153"/>
      <c r="N54" s="153"/>
      <c r="O54" s="237"/>
      <c r="P54" s="238"/>
    </row>
    <row r="55" spans="3:16">
      <c r="C55" s="219"/>
      <c r="D55" s="219"/>
      <c r="E55" s="223"/>
      <c r="F55" s="152"/>
      <c r="G55" s="153"/>
      <c r="H55" s="153"/>
      <c r="I55" s="153"/>
      <c r="J55" s="153"/>
      <c r="K55" s="153"/>
      <c r="L55" s="153"/>
      <c r="M55" s="153"/>
      <c r="N55" s="153"/>
      <c r="O55" s="237"/>
      <c r="P55" s="238"/>
    </row>
    <row r="56" spans="3:16">
      <c r="C56" s="219"/>
      <c r="D56" s="219"/>
      <c r="E56" s="223"/>
      <c r="F56" s="152"/>
      <c r="G56" s="153"/>
      <c r="H56" s="153"/>
      <c r="I56" s="153"/>
      <c r="J56" s="153"/>
      <c r="K56" s="153"/>
      <c r="L56" s="153"/>
      <c r="M56" s="153"/>
      <c r="N56" s="153"/>
      <c r="O56" s="237"/>
      <c r="P56" s="238"/>
    </row>
    <row r="57" spans="3:16">
      <c r="C57" s="219"/>
      <c r="D57" s="219"/>
      <c r="E57" s="223"/>
      <c r="F57" s="152"/>
      <c r="G57" s="153"/>
      <c r="H57" s="153"/>
      <c r="I57" s="153"/>
      <c r="J57" s="153"/>
      <c r="K57" s="153"/>
      <c r="L57" s="153"/>
      <c r="M57" s="153"/>
      <c r="N57" s="153"/>
      <c r="O57" s="237"/>
      <c r="P57" s="238"/>
    </row>
    <row r="58" spans="3:16">
      <c r="C58" s="219"/>
      <c r="D58" s="219"/>
      <c r="E58" s="223"/>
      <c r="F58" s="152"/>
      <c r="G58" s="153"/>
      <c r="H58" s="153"/>
      <c r="I58" s="153"/>
      <c r="J58" s="153"/>
      <c r="K58" s="153"/>
      <c r="L58" s="153"/>
      <c r="M58" s="153"/>
      <c r="N58" s="153"/>
      <c r="O58" s="237"/>
      <c r="P58" s="238"/>
    </row>
    <row r="59" spans="3:16">
      <c r="C59" s="219"/>
      <c r="D59" s="219"/>
      <c r="E59" s="223"/>
      <c r="F59" s="152"/>
      <c r="G59" s="153"/>
      <c r="H59" s="153"/>
      <c r="I59" s="153"/>
      <c r="J59" s="153"/>
      <c r="K59" s="153"/>
      <c r="L59" s="153"/>
      <c r="M59" s="153"/>
      <c r="N59" s="153"/>
      <c r="O59" s="237"/>
      <c r="P59" s="238"/>
    </row>
    <row r="60" spans="3:16">
      <c r="C60" s="219"/>
      <c r="D60" s="219"/>
      <c r="E60" s="223"/>
      <c r="F60" s="152"/>
      <c r="G60" s="153"/>
      <c r="H60" s="153"/>
      <c r="I60" s="153"/>
      <c r="J60" s="153"/>
      <c r="K60" s="153"/>
      <c r="L60" s="153"/>
      <c r="M60" s="153"/>
      <c r="N60" s="153"/>
      <c r="O60" s="237"/>
      <c r="P60" s="238"/>
    </row>
    <row r="61" spans="3:16">
      <c r="C61" s="219"/>
      <c r="D61" s="219"/>
      <c r="E61" s="223"/>
      <c r="F61" s="152"/>
      <c r="G61" s="153"/>
      <c r="H61" s="153"/>
      <c r="I61" s="153"/>
      <c r="J61" s="153"/>
      <c r="K61" s="153"/>
      <c r="L61" s="153"/>
      <c r="M61" s="153"/>
      <c r="N61" s="153"/>
      <c r="O61" s="237"/>
      <c r="P61" s="238"/>
    </row>
    <row r="62" spans="3:16" ht="15" thickBot="1">
      <c r="C62" s="224"/>
      <c r="D62" s="224"/>
      <c r="E62" s="214"/>
      <c r="F62" s="154"/>
      <c r="G62" s="155"/>
      <c r="H62" s="155"/>
      <c r="I62" s="155"/>
      <c r="J62" s="155"/>
      <c r="K62" s="155"/>
      <c r="L62" s="155"/>
      <c r="M62" s="155"/>
      <c r="N62" s="155"/>
      <c r="O62" s="239"/>
      <c r="P62" s="240"/>
    </row>
    <row r="63" spans="3:16" ht="15" thickTop="1"/>
  </sheetData>
  <mergeCells count="18">
    <mergeCell ref="F2:G2"/>
    <mergeCell ref="H4:J4"/>
    <mergeCell ref="H6:J6"/>
    <mergeCell ref="C7:C8"/>
    <mergeCell ref="F7:F8"/>
    <mergeCell ref="G7:G8"/>
    <mergeCell ref="R7:R8"/>
    <mergeCell ref="F34:G34"/>
    <mergeCell ref="C38:C39"/>
    <mergeCell ref="F38:F39"/>
    <mergeCell ref="G38:G39"/>
    <mergeCell ref="I38:I39"/>
    <mergeCell ref="K38:K39"/>
    <mergeCell ref="N38:N39"/>
    <mergeCell ref="P38:P39"/>
    <mergeCell ref="K7:K8"/>
    <mergeCell ref="M7:M8"/>
    <mergeCell ref="P7:P8"/>
  </mergeCells>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C1:CF108"/>
  <sheetViews>
    <sheetView workbookViewId="0"/>
  </sheetViews>
  <sheetFormatPr defaultRowHeight="14.6"/>
  <cols>
    <col min="4" max="4" width="46.69140625" customWidth="1"/>
    <col min="5" max="5" width="40.69140625" customWidth="1"/>
    <col min="6" max="6" width="15" customWidth="1"/>
    <col min="8" max="8" width="12.3046875" customWidth="1"/>
    <col min="14" max="14" width="50.69140625" customWidth="1"/>
    <col min="15" max="15" width="91.69140625" customWidth="1"/>
    <col min="16" max="16" width="165.69140625" customWidth="1"/>
    <col min="20" max="21" width="10.53515625" customWidth="1"/>
    <col min="23" max="23" width="12.69140625" customWidth="1"/>
    <col min="24" max="24" width="80.69140625" customWidth="1"/>
    <col min="28" max="31" width="10.69140625" customWidth="1"/>
    <col min="32" max="32" width="78.53515625" customWidth="1"/>
    <col min="36" max="36" width="20.69140625" customWidth="1"/>
    <col min="37" max="41" width="16.69140625" customWidth="1"/>
    <col min="45" max="45" width="24.53515625" customWidth="1"/>
    <col min="46" max="46" width="73.53515625" customWidth="1"/>
    <col min="47" max="47" width="64" customWidth="1"/>
    <col min="51" max="51" width="19.53515625" customWidth="1"/>
    <col min="52" max="53" width="16.15234375" customWidth="1"/>
    <col min="54" max="54" width="15.15234375" customWidth="1"/>
    <col min="55" max="55" width="188.53515625" customWidth="1"/>
    <col min="59" max="59" width="22.15234375" customWidth="1"/>
    <col min="60" max="64" width="16.69140625" customWidth="1"/>
    <col min="68" max="68" width="20.69140625" customWidth="1"/>
    <col min="69" max="71" width="12.69140625" customWidth="1"/>
    <col min="72" max="72" width="114.3046875" customWidth="1"/>
    <col min="77" max="77" width="31.84375" customWidth="1"/>
    <col min="78" max="78" width="129.84375" customWidth="1"/>
    <col min="83" max="83" width="18.84375" customWidth="1"/>
    <col min="84" max="84" width="82.3828125" customWidth="1"/>
  </cols>
  <sheetData>
    <row r="1" spans="3:84">
      <c r="R1" s="23">
        <v>1</v>
      </c>
    </row>
    <row r="2" spans="3:84" ht="15" thickBot="1">
      <c r="F2" s="241"/>
      <c r="I2" s="1"/>
      <c r="R2" s="23">
        <f>1+R1</f>
        <v>2</v>
      </c>
      <c r="CA2" t="s">
        <v>310</v>
      </c>
    </row>
    <row r="3" spans="3:84" ht="15.75" customHeight="1" thickTop="1">
      <c r="D3" s="1" t="s">
        <v>311</v>
      </c>
      <c r="H3" s="2607" t="s">
        <v>312</v>
      </c>
      <c r="I3" s="2609" t="s">
        <v>313</v>
      </c>
      <c r="J3" s="2609"/>
      <c r="K3" s="2610"/>
      <c r="N3" s="242" t="s">
        <v>314</v>
      </c>
      <c r="O3" s="243"/>
      <c r="R3" s="23">
        <f t="shared" ref="R3:R66" si="0">1+R2</f>
        <v>3</v>
      </c>
      <c r="W3" s="244" t="s">
        <v>315</v>
      </c>
      <c r="AB3" s="244" t="s">
        <v>316</v>
      </c>
      <c r="AC3" s="23"/>
      <c r="AJ3" s="244" t="s">
        <v>317</v>
      </c>
      <c r="AQ3" s="43"/>
      <c r="AS3" s="245" t="s">
        <v>318</v>
      </c>
      <c r="AT3" s="246"/>
      <c r="AY3" s="247" t="s">
        <v>319</v>
      </c>
      <c r="AZ3" s="248"/>
      <c r="BA3" s="248"/>
      <c r="BG3" s="127" t="s">
        <v>320</v>
      </c>
      <c r="BP3" s="127" t="s">
        <v>321</v>
      </c>
      <c r="BX3" s="249" t="s">
        <v>322</v>
      </c>
      <c r="CD3" s="127" t="s">
        <v>323</v>
      </c>
    </row>
    <row r="4" spans="3:84" ht="15" thickBot="1">
      <c r="D4" t="s">
        <v>324</v>
      </c>
      <c r="E4" t="s">
        <v>325</v>
      </c>
      <c r="F4" t="s">
        <v>326</v>
      </c>
      <c r="H4" s="2608"/>
      <c r="I4" s="250"/>
      <c r="J4" s="250"/>
      <c r="K4" s="251"/>
      <c r="R4" s="23">
        <f t="shared" si="0"/>
        <v>4</v>
      </c>
      <c r="AB4" s="23"/>
      <c r="AC4" s="23"/>
    </row>
    <row r="5" spans="3:84" ht="15.75" customHeight="1" thickTop="1" thickBot="1">
      <c r="C5" s="252">
        <v>1</v>
      </c>
      <c r="D5" s="253" t="s">
        <v>327</v>
      </c>
      <c r="E5" s="2611" t="s">
        <v>328</v>
      </c>
      <c r="F5" s="2611" t="s">
        <v>329</v>
      </c>
      <c r="H5" s="254"/>
      <c r="I5" s="96"/>
      <c r="J5" s="96"/>
      <c r="K5" s="97"/>
      <c r="N5" s="255" t="s">
        <v>330</v>
      </c>
      <c r="O5" s="256" t="s">
        <v>331</v>
      </c>
      <c r="P5" s="257" t="s">
        <v>325</v>
      </c>
      <c r="R5" s="23">
        <f t="shared" si="0"/>
        <v>5</v>
      </c>
      <c r="T5" s="23"/>
      <c r="U5" s="23"/>
      <c r="W5" s="258" t="s">
        <v>332</v>
      </c>
      <c r="X5" s="259" t="s">
        <v>325</v>
      </c>
      <c r="AB5" s="2596" t="s">
        <v>312</v>
      </c>
      <c r="AC5" s="2598" t="s">
        <v>333</v>
      </c>
      <c r="AD5" s="2598"/>
      <c r="AE5" s="2598"/>
      <c r="AF5" s="2581" t="s">
        <v>325</v>
      </c>
      <c r="AJ5" s="2602" t="s">
        <v>334</v>
      </c>
      <c r="AK5" s="2604" t="s">
        <v>335</v>
      </c>
      <c r="AL5" s="2605"/>
      <c r="AM5" s="2605"/>
      <c r="AN5" s="2605"/>
      <c r="AO5" s="2606"/>
      <c r="AS5" s="260" t="s">
        <v>266</v>
      </c>
      <c r="AT5" s="260" t="s">
        <v>336</v>
      </c>
      <c r="AU5" s="74"/>
      <c r="AY5" s="108" t="s">
        <v>312</v>
      </c>
      <c r="AZ5" s="261" t="s">
        <v>337</v>
      </c>
      <c r="BA5" s="262"/>
      <c r="BB5" s="77"/>
      <c r="BC5" s="73" t="s">
        <v>325</v>
      </c>
      <c r="BG5" s="2602" t="s">
        <v>334</v>
      </c>
      <c r="BH5" s="2604" t="s">
        <v>335</v>
      </c>
      <c r="BI5" s="2605"/>
      <c r="BJ5" s="2605"/>
      <c r="BK5" s="2605"/>
      <c r="BL5" s="2606"/>
      <c r="BP5" s="108" t="s">
        <v>312</v>
      </c>
      <c r="BQ5" s="261" t="s">
        <v>337</v>
      </c>
      <c r="BR5" s="262"/>
      <c r="BS5" s="77"/>
      <c r="BT5" s="73" t="s">
        <v>325</v>
      </c>
      <c r="BX5" s="263" t="s">
        <v>338</v>
      </c>
      <c r="BY5" s="264" t="s">
        <v>339</v>
      </c>
      <c r="BZ5" s="265" t="s">
        <v>340</v>
      </c>
      <c r="CD5" s="266" t="s">
        <v>338</v>
      </c>
      <c r="CE5" s="267" t="s">
        <v>339</v>
      </c>
      <c r="CF5" s="268" t="s">
        <v>340</v>
      </c>
    </row>
    <row r="6" spans="3:84" ht="44.6" thickTop="1" thickBot="1">
      <c r="C6" s="269">
        <f>1+C5</f>
        <v>2</v>
      </c>
      <c r="D6" s="270" t="s">
        <v>341</v>
      </c>
      <c r="E6" s="2612"/>
      <c r="F6" s="2612"/>
      <c r="H6" s="271" t="s">
        <v>235</v>
      </c>
      <c r="I6" s="272">
        <v>96</v>
      </c>
      <c r="J6" s="31">
        <v>100</v>
      </c>
      <c r="K6" s="98">
        <v>10</v>
      </c>
      <c r="M6">
        <v>1</v>
      </c>
      <c r="N6" s="273" t="s">
        <v>342</v>
      </c>
      <c r="O6" s="274" t="s">
        <v>343</v>
      </c>
      <c r="P6" s="275" t="s">
        <v>344</v>
      </c>
      <c r="R6" s="23">
        <f t="shared" si="0"/>
        <v>6</v>
      </c>
      <c r="T6" s="23"/>
      <c r="U6" s="23"/>
      <c r="W6" s="276" t="s">
        <v>345</v>
      </c>
      <c r="X6" s="277" t="s">
        <v>346</v>
      </c>
      <c r="AB6" s="2597"/>
      <c r="AC6" s="2583" t="s">
        <v>347</v>
      </c>
      <c r="AD6" s="2584"/>
      <c r="AE6" s="278"/>
      <c r="AF6" s="2582"/>
      <c r="AJ6" s="2603"/>
      <c r="AK6" s="279" t="s">
        <v>348</v>
      </c>
      <c r="AL6" s="280" t="s">
        <v>238</v>
      </c>
      <c r="AM6" s="281" t="s">
        <v>260</v>
      </c>
      <c r="AN6" s="282" t="s">
        <v>261</v>
      </c>
      <c r="AO6" s="283" t="s">
        <v>235</v>
      </c>
      <c r="AS6" s="284" t="s">
        <v>349</v>
      </c>
      <c r="AT6" s="285" t="s">
        <v>350</v>
      </c>
      <c r="AU6" s="286" t="s">
        <v>351</v>
      </c>
      <c r="AY6" s="287" t="s">
        <v>235</v>
      </c>
      <c r="AZ6" s="288">
        <v>96</v>
      </c>
      <c r="BA6" s="289">
        <v>100</v>
      </c>
      <c r="BB6" s="290">
        <v>10</v>
      </c>
      <c r="BC6" s="291" t="s">
        <v>352</v>
      </c>
      <c r="BG6" s="2603"/>
      <c r="BH6" s="279" t="s">
        <v>348</v>
      </c>
      <c r="BI6" s="280" t="s">
        <v>238</v>
      </c>
      <c r="BJ6" s="281" t="s">
        <v>260</v>
      </c>
      <c r="BK6" s="282" t="s">
        <v>261</v>
      </c>
      <c r="BL6" s="283" t="s">
        <v>235</v>
      </c>
      <c r="BP6" s="287" t="s">
        <v>235</v>
      </c>
      <c r="BQ6" s="288">
        <v>96</v>
      </c>
      <c r="BR6" s="289">
        <v>100</v>
      </c>
      <c r="BS6" s="290">
        <v>10</v>
      </c>
      <c r="BT6" s="291" t="s">
        <v>353</v>
      </c>
      <c r="BX6" s="292">
        <v>1</v>
      </c>
      <c r="BY6" s="293" t="s">
        <v>285</v>
      </c>
      <c r="BZ6" s="294" t="s">
        <v>354</v>
      </c>
      <c r="CD6" s="292">
        <v>1</v>
      </c>
      <c r="CE6" s="295" t="s">
        <v>285</v>
      </c>
      <c r="CF6" s="294" t="s">
        <v>355</v>
      </c>
    </row>
    <row r="7" spans="3:84" ht="51.75" customHeight="1" thickTop="1">
      <c r="C7" s="269">
        <f t="shared" ref="C7:C44" si="1">1+C6</f>
        <v>3</v>
      </c>
      <c r="D7" s="270" t="s">
        <v>356</v>
      </c>
      <c r="E7" s="2612"/>
      <c r="F7" s="2612"/>
      <c r="H7" s="296" t="s">
        <v>261</v>
      </c>
      <c r="I7" s="272">
        <v>85</v>
      </c>
      <c r="J7" s="31">
        <v>95</v>
      </c>
      <c r="K7" s="98">
        <v>8</v>
      </c>
      <c r="M7">
        <f>1+M6</f>
        <v>2</v>
      </c>
      <c r="N7" s="297"/>
      <c r="O7" s="298" t="s">
        <v>357</v>
      </c>
      <c r="P7" s="299" t="s">
        <v>358</v>
      </c>
      <c r="R7" s="23">
        <f t="shared" si="0"/>
        <v>7</v>
      </c>
      <c r="T7" s="23"/>
      <c r="U7" s="23"/>
      <c r="W7" s="300" t="s">
        <v>359</v>
      </c>
      <c r="X7" s="301" t="s">
        <v>360</v>
      </c>
      <c r="AB7" s="302" t="s">
        <v>235</v>
      </c>
      <c r="AC7" s="303">
        <v>96</v>
      </c>
      <c r="AD7" s="304">
        <v>100</v>
      </c>
      <c r="AE7" s="304">
        <v>10</v>
      </c>
      <c r="AF7" s="277" t="s">
        <v>361</v>
      </c>
      <c r="AJ7" s="305" t="s">
        <v>235</v>
      </c>
      <c r="AK7" s="306" t="s">
        <v>238</v>
      </c>
      <c r="AL7" s="307" t="s">
        <v>260</v>
      </c>
      <c r="AM7" s="308" t="s">
        <v>261</v>
      </c>
      <c r="AN7" s="309" t="s">
        <v>235</v>
      </c>
      <c r="AO7" s="309" t="s">
        <v>235</v>
      </c>
      <c r="AS7" s="310" t="s">
        <v>349</v>
      </c>
      <c r="AT7" s="311" t="s">
        <v>350</v>
      </c>
      <c r="AU7" s="312" t="s">
        <v>362</v>
      </c>
      <c r="AY7" s="313" t="s">
        <v>363</v>
      </c>
      <c r="AZ7" s="314">
        <v>85</v>
      </c>
      <c r="BA7" s="315">
        <v>95</v>
      </c>
      <c r="BB7" s="316">
        <v>8</v>
      </c>
      <c r="BC7" s="317" t="s">
        <v>364</v>
      </c>
      <c r="BG7" s="318" t="s">
        <v>235</v>
      </c>
      <c r="BH7" s="319" t="s">
        <v>348</v>
      </c>
      <c r="BI7" s="320" t="s">
        <v>238</v>
      </c>
      <c r="BJ7" s="321" t="s">
        <v>260</v>
      </c>
      <c r="BK7" s="322" t="s">
        <v>261</v>
      </c>
      <c r="BL7" s="323" t="s">
        <v>235</v>
      </c>
      <c r="BP7" s="313" t="s">
        <v>363</v>
      </c>
      <c r="BQ7" s="314">
        <v>85</v>
      </c>
      <c r="BR7" s="315">
        <v>95</v>
      </c>
      <c r="BS7" s="316">
        <v>8</v>
      </c>
      <c r="BT7" s="317" t="s">
        <v>365</v>
      </c>
      <c r="BX7" s="324">
        <v>2</v>
      </c>
      <c r="BY7" s="325" t="s">
        <v>286</v>
      </c>
      <c r="BZ7" s="301" t="s">
        <v>366</v>
      </c>
      <c r="CD7" s="324">
        <v>2</v>
      </c>
      <c r="CE7" s="326" t="s">
        <v>286</v>
      </c>
      <c r="CF7" s="301" t="s">
        <v>367</v>
      </c>
    </row>
    <row r="8" spans="3:84" ht="53.25" customHeight="1" thickBot="1">
      <c r="C8" s="269">
        <f t="shared" si="1"/>
        <v>4</v>
      </c>
      <c r="D8" s="270" t="s">
        <v>368</v>
      </c>
      <c r="E8" s="2612"/>
      <c r="F8" s="2612"/>
      <c r="H8" s="296" t="s">
        <v>260</v>
      </c>
      <c r="I8" s="272">
        <v>21</v>
      </c>
      <c r="J8" s="31">
        <v>79</v>
      </c>
      <c r="K8" s="98">
        <v>5</v>
      </c>
      <c r="M8">
        <f t="shared" ref="M8:M57" si="2">1+M7</f>
        <v>3</v>
      </c>
      <c r="N8" s="297"/>
      <c r="O8" s="298" t="s">
        <v>369</v>
      </c>
      <c r="P8" s="299" t="s">
        <v>370</v>
      </c>
      <c r="R8" s="23">
        <f t="shared" si="0"/>
        <v>8</v>
      </c>
      <c r="T8" s="23"/>
      <c r="U8" s="23"/>
      <c r="W8" s="300" t="s">
        <v>371</v>
      </c>
      <c r="X8" s="301" t="s">
        <v>372</v>
      </c>
      <c r="AB8" s="327" t="s">
        <v>261</v>
      </c>
      <c r="AC8" s="328">
        <v>80</v>
      </c>
      <c r="AD8" s="329">
        <v>95</v>
      </c>
      <c r="AE8" s="329">
        <v>8</v>
      </c>
      <c r="AF8" s="301" t="s">
        <v>373</v>
      </c>
      <c r="AJ8" s="330" t="s">
        <v>261</v>
      </c>
      <c r="AK8" s="331" t="s">
        <v>238</v>
      </c>
      <c r="AL8" s="332" t="s">
        <v>260</v>
      </c>
      <c r="AM8" s="332" t="s">
        <v>260</v>
      </c>
      <c r="AN8" s="333" t="s">
        <v>261</v>
      </c>
      <c r="AO8" s="334" t="s">
        <v>235</v>
      </c>
      <c r="AS8" s="310" t="s">
        <v>349</v>
      </c>
      <c r="AT8" s="335" t="s">
        <v>350</v>
      </c>
      <c r="AU8" s="336" t="s">
        <v>374</v>
      </c>
      <c r="AY8" s="337" t="s">
        <v>375</v>
      </c>
      <c r="AZ8" s="338">
        <v>21</v>
      </c>
      <c r="BA8" s="339">
        <v>79</v>
      </c>
      <c r="BB8" s="7">
        <v>5</v>
      </c>
      <c r="BC8" s="340" t="s">
        <v>376</v>
      </c>
      <c r="BG8" s="341" t="s">
        <v>261</v>
      </c>
      <c r="BH8" s="342" t="s">
        <v>348</v>
      </c>
      <c r="BI8" s="343" t="s">
        <v>238</v>
      </c>
      <c r="BJ8" s="344" t="s">
        <v>260</v>
      </c>
      <c r="BK8" s="345" t="s">
        <v>261</v>
      </c>
      <c r="BL8" s="334" t="s">
        <v>235</v>
      </c>
      <c r="BP8" s="337" t="s">
        <v>375</v>
      </c>
      <c r="BQ8" s="338">
        <v>21</v>
      </c>
      <c r="BR8" s="339">
        <v>79</v>
      </c>
      <c r="BS8" s="7">
        <v>5</v>
      </c>
      <c r="BT8" s="340" t="s">
        <v>377</v>
      </c>
      <c r="BX8" s="324">
        <v>3</v>
      </c>
      <c r="BY8" s="325" t="s">
        <v>296</v>
      </c>
      <c r="BZ8" s="301" t="s">
        <v>378</v>
      </c>
      <c r="CD8" s="324">
        <v>3</v>
      </c>
      <c r="CE8" s="326" t="s">
        <v>306</v>
      </c>
      <c r="CF8" s="301" t="s">
        <v>379</v>
      </c>
    </row>
    <row r="9" spans="3:84" ht="43.5" customHeight="1" thickTop="1" thickBot="1">
      <c r="C9" s="269">
        <f t="shared" si="1"/>
        <v>5</v>
      </c>
      <c r="D9" s="270" t="s">
        <v>380</v>
      </c>
      <c r="E9" s="2612"/>
      <c r="F9" s="2612"/>
      <c r="H9" s="346" t="s">
        <v>238</v>
      </c>
      <c r="I9" s="272">
        <v>5</v>
      </c>
      <c r="J9" s="31">
        <v>19</v>
      </c>
      <c r="K9" s="98">
        <v>2</v>
      </c>
      <c r="M9">
        <f t="shared" si="2"/>
        <v>4</v>
      </c>
      <c r="N9" s="297"/>
      <c r="O9" s="298" t="s">
        <v>381</v>
      </c>
      <c r="P9" s="299" t="s">
        <v>382</v>
      </c>
      <c r="R9" s="23">
        <f t="shared" si="0"/>
        <v>9</v>
      </c>
      <c r="T9" s="23"/>
      <c r="U9" s="23"/>
      <c r="W9" s="300" t="s">
        <v>383</v>
      </c>
      <c r="X9" s="347" t="s">
        <v>384</v>
      </c>
      <c r="AB9" s="348" t="s">
        <v>260</v>
      </c>
      <c r="AC9" s="328">
        <v>21</v>
      </c>
      <c r="AD9" s="329">
        <v>79</v>
      </c>
      <c r="AE9" s="329">
        <v>5</v>
      </c>
      <c r="AF9" s="301" t="s">
        <v>385</v>
      </c>
      <c r="AJ9" s="349" t="s">
        <v>260</v>
      </c>
      <c r="AK9" s="331" t="s">
        <v>238</v>
      </c>
      <c r="AL9" s="331" t="s">
        <v>238</v>
      </c>
      <c r="AM9" s="332" t="s">
        <v>260</v>
      </c>
      <c r="AN9" s="332" t="s">
        <v>260</v>
      </c>
      <c r="AO9" s="350" t="s">
        <v>261</v>
      </c>
      <c r="AS9" s="310" t="s">
        <v>349</v>
      </c>
      <c r="AT9" s="351" t="s">
        <v>386</v>
      </c>
      <c r="AU9" s="336" t="s">
        <v>387</v>
      </c>
      <c r="AY9" s="352" t="s">
        <v>388</v>
      </c>
      <c r="AZ9" s="353">
        <v>5</v>
      </c>
      <c r="BA9" s="354">
        <v>19</v>
      </c>
      <c r="BB9" s="355">
        <v>2</v>
      </c>
      <c r="BC9" s="356" t="s">
        <v>389</v>
      </c>
      <c r="BG9" s="357" t="s">
        <v>260</v>
      </c>
      <c r="BH9" s="342" t="s">
        <v>348</v>
      </c>
      <c r="BI9" s="343" t="s">
        <v>238</v>
      </c>
      <c r="BJ9" s="344" t="s">
        <v>260</v>
      </c>
      <c r="BK9" s="344" t="s">
        <v>260</v>
      </c>
      <c r="BL9" s="358" t="s">
        <v>261</v>
      </c>
      <c r="BP9" s="352" t="s">
        <v>388</v>
      </c>
      <c r="BQ9" s="353">
        <v>5</v>
      </c>
      <c r="BR9" s="354">
        <v>19</v>
      </c>
      <c r="BS9" s="355">
        <v>2</v>
      </c>
      <c r="BT9" s="359" t="s">
        <v>390</v>
      </c>
      <c r="BX9" s="324">
        <v>4</v>
      </c>
      <c r="BY9" s="325" t="s">
        <v>297</v>
      </c>
      <c r="BZ9" s="301" t="s">
        <v>391</v>
      </c>
      <c r="CD9" s="324">
        <v>4</v>
      </c>
      <c r="CE9" s="326" t="s">
        <v>288</v>
      </c>
      <c r="CF9" s="301" t="s">
        <v>392</v>
      </c>
    </row>
    <row r="10" spans="3:84" ht="54" customHeight="1" thickBot="1">
      <c r="C10" s="269">
        <f t="shared" si="1"/>
        <v>6</v>
      </c>
      <c r="D10" s="270" t="s">
        <v>393</v>
      </c>
      <c r="E10" s="2612"/>
      <c r="F10" s="2612"/>
      <c r="H10" s="360" t="s">
        <v>348</v>
      </c>
      <c r="I10" s="361">
        <v>0</v>
      </c>
      <c r="J10" s="362">
        <v>4</v>
      </c>
      <c r="K10" s="100">
        <v>0</v>
      </c>
      <c r="M10">
        <f t="shared" si="2"/>
        <v>5</v>
      </c>
      <c r="N10" s="297"/>
      <c r="O10" s="298" t="s">
        <v>394</v>
      </c>
      <c r="P10" s="299" t="s">
        <v>395</v>
      </c>
      <c r="R10" s="23">
        <f t="shared" si="0"/>
        <v>10</v>
      </c>
      <c r="T10" s="23"/>
      <c r="U10" s="23"/>
      <c r="W10" s="300" t="s">
        <v>396</v>
      </c>
      <c r="X10" s="301" t="s">
        <v>397</v>
      </c>
      <c r="AB10" s="363" t="s">
        <v>238</v>
      </c>
      <c r="AC10" s="328">
        <v>5</v>
      </c>
      <c r="AD10" s="329">
        <v>20</v>
      </c>
      <c r="AE10" s="329">
        <v>2</v>
      </c>
      <c r="AF10" s="301" t="s">
        <v>398</v>
      </c>
      <c r="AJ10" s="364" t="s">
        <v>238</v>
      </c>
      <c r="AK10" s="365" t="s">
        <v>348</v>
      </c>
      <c r="AL10" s="331" t="s">
        <v>238</v>
      </c>
      <c r="AM10" s="331" t="s">
        <v>238</v>
      </c>
      <c r="AN10" s="332" t="s">
        <v>260</v>
      </c>
      <c r="AO10" s="366" t="s">
        <v>260</v>
      </c>
      <c r="AS10" s="310" t="s">
        <v>349</v>
      </c>
      <c r="AT10" s="367" t="s">
        <v>386</v>
      </c>
      <c r="AU10" s="13" t="s">
        <v>351</v>
      </c>
      <c r="AY10" s="368" t="s">
        <v>348</v>
      </c>
      <c r="AZ10" s="369">
        <v>0</v>
      </c>
      <c r="BA10" s="71">
        <v>4</v>
      </c>
      <c r="BB10" s="370">
        <v>0</v>
      </c>
      <c r="BC10" s="371" t="s">
        <v>399</v>
      </c>
      <c r="BG10" s="372" t="s">
        <v>238</v>
      </c>
      <c r="BH10" s="342" t="s">
        <v>348</v>
      </c>
      <c r="BI10" s="343" t="s">
        <v>238</v>
      </c>
      <c r="BJ10" s="343" t="s">
        <v>238</v>
      </c>
      <c r="BK10" s="343" t="s">
        <v>238</v>
      </c>
      <c r="BL10" s="373" t="s">
        <v>260</v>
      </c>
      <c r="BP10" s="368" t="s">
        <v>348</v>
      </c>
      <c r="BQ10" s="369">
        <v>0</v>
      </c>
      <c r="BR10" s="71">
        <v>4</v>
      </c>
      <c r="BS10" s="370">
        <v>0</v>
      </c>
      <c r="BT10" s="371" t="s">
        <v>400</v>
      </c>
      <c r="BX10" s="324">
        <v>5</v>
      </c>
      <c r="BY10" s="325" t="s">
        <v>298</v>
      </c>
      <c r="BZ10" s="301" t="s">
        <v>401</v>
      </c>
      <c r="CD10" s="324">
        <v>5</v>
      </c>
      <c r="CE10" s="326" t="s">
        <v>402</v>
      </c>
      <c r="CF10" s="301" t="s">
        <v>403</v>
      </c>
    </row>
    <row r="11" spans="3:84" ht="115.5" customHeight="1" thickTop="1" thickBot="1">
      <c r="C11" s="269">
        <f t="shared" si="1"/>
        <v>7</v>
      </c>
      <c r="D11" s="270" t="s">
        <v>404</v>
      </c>
      <c r="E11" s="2612"/>
      <c r="F11" s="2612"/>
      <c r="M11">
        <f t="shared" si="2"/>
        <v>6</v>
      </c>
      <c r="N11" s="374" t="s">
        <v>405</v>
      </c>
      <c r="O11" s="298" t="s">
        <v>406</v>
      </c>
      <c r="P11" s="299" t="s">
        <v>407</v>
      </c>
      <c r="R11" s="23">
        <f t="shared" si="0"/>
        <v>11</v>
      </c>
      <c r="T11" s="23"/>
      <c r="U11" s="23"/>
      <c r="W11" s="375" t="s">
        <v>408</v>
      </c>
      <c r="X11" s="376" t="s">
        <v>409</v>
      </c>
      <c r="AB11" s="377" t="s">
        <v>348</v>
      </c>
      <c r="AC11" s="378">
        <v>0</v>
      </c>
      <c r="AD11" s="138">
        <v>4</v>
      </c>
      <c r="AE11" s="138">
        <v>0</v>
      </c>
      <c r="AF11" s="379" t="s">
        <v>410</v>
      </c>
      <c r="AJ11" s="380" t="s">
        <v>348</v>
      </c>
      <c r="AK11" s="279" t="s">
        <v>348</v>
      </c>
      <c r="AL11" s="279" t="s">
        <v>348</v>
      </c>
      <c r="AM11" s="280" t="s">
        <v>238</v>
      </c>
      <c r="AN11" s="280" t="s">
        <v>238</v>
      </c>
      <c r="AO11" s="381" t="s">
        <v>238</v>
      </c>
      <c r="AS11" s="310" t="s">
        <v>349</v>
      </c>
      <c r="AT11" s="367" t="s">
        <v>386</v>
      </c>
      <c r="AU11" s="13" t="s">
        <v>411</v>
      </c>
      <c r="AY11" s="96"/>
      <c r="AZ11" s="96"/>
      <c r="BA11" s="96"/>
      <c r="BB11" s="96"/>
      <c r="BC11" s="96"/>
      <c r="BG11" s="382" t="s">
        <v>348</v>
      </c>
      <c r="BH11" s="383" t="s">
        <v>348</v>
      </c>
      <c r="BI11" s="384" t="s">
        <v>348</v>
      </c>
      <c r="BJ11" s="384" t="s">
        <v>348</v>
      </c>
      <c r="BK11" s="385" t="s">
        <v>238</v>
      </c>
      <c r="BL11" s="386" t="s">
        <v>238</v>
      </c>
      <c r="BX11" s="324">
        <v>6</v>
      </c>
      <c r="BY11" s="325" t="s">
        <v>288</v>
      </c>
      <c r="BZ11" s="301" t="s">
        <v>412</v>
      </c>
      <c r="CD11" s="324">
        <v>6</v>
      </c>
      <c r="CE11" s="326" t="s">
        <v>290</v>
      </c>
      <c r="CF11" s="301" t="s">
        <v>413</v>
      </c>
    </row>
    <row r="12" spans="3:84" ht="30" thickTop="1" thickBot="1">
      <c r="C12" s="269">
        <f t="shared" si="1"/>
        <v>8</v>
      </c>
      <c r="D12" s="270" t="s">
        <v>414</v>
      </c>
      <c r="E12" s="2612"/>
      <c r="F12" s="2612"/>
      <c r="M12">
        <f t="shared" si="2"/>
        <v>7</v>
      </c>
      <c r="N12" s="387"/>
      <c r="O12" s="388" t="s">
        <v>415</v>
      </c>
      <c r="P12" s="299" t="s">
        <v>416</v>
      </c>
      <c r="R12" s="23">
        <f t="shared" si="0"/>
        <v>12</v>
      </c>
      <c r="T12" s="23"/>
      <c r="U12" s="23"/>
      <c r="AS12" s="310" t="s">
        <v>349</v>
      </c>
      <c r="AT12" s="389" t="s">
        <v>386</v>
      </c>
      <c r="AU12" s="336" t="s">
        <v>374</v>
      </c>
      <c r="BX12" s="324">
        <v>7</v>
      </c>
      <c r="BY12" s="325" t="s">
        <v>417</v>
      </c>
      <c r="BZ12" s="301" t="s">
        <v>418</v>
      </c>
      <c r="CD12" s="324">
        <v>7</v>
      </c>
      <c r="CE12" s="326" t="s">
        <v>419</v>
      </c>
      <c r="CF12" s="390" t="s">
        <v>420</v>
      </c>
    </row>
    <row r="13" spans="3:84" ht="44.15" thickTop="1">
      <c r="C13" s="269">
        <f t="shared" si="1"/>
        <v>9</v>
      </c>
      <c r="D13" s="270" t="s">
        <v>421</v>
      </c>
      <c r="E13" s="2612"/>
      <c r="F13" s="2612"/>
      <c r="M13">
        <f t="shared" si="2"/>
        <v>8</v>
      </c>
      <c r="N13" s="387"/>
      <c r="O13" s="388" t="s">
        <v>422</v>
      </c>
      <c r="P13" s="299" t="s">
        <v>423</v>
      </c>
      <c r="R13" s="23">
        <f t="shared" si="0"/>
        <v>13</v>
      </c>
      <c r="T13" s="23"/>
      <c r="U13" s="23"/>
      <c r="AS13" s="310" t="s">
        <v>349</v>
      </c>
      <c r="AT13" s="391" t="s">
        <v>424</v>
      </c>
      <c r="AU13" s="336" t="s">
        <v>425</v>
      </c>
      <c r="BX13" s="324">
        <v>8</v>
      </c>
      <c r="BY13" s="325" t="s">
        <v>290</v>
      </c>
      <c r="BZ13" s="301" t="s">
        <v>426</v>
      </c>
      <c r="CD13" s="324">
        <v>8</v>
      </c>
      <c r="CE13" s="326" t="s">
        <v>427</v>
      </c>
      <c r="CF13" s="392" t="s">
        <v>428</v>
      </c>
    </row>
    <row r="14" spans="3:84" ht="44.15" thickBot="1">
      <c r="C14" s="269">
        <f t="shared" si="1"/>
        <v>10</v>
      </c>
      <c r="D14" s="270" t="s">
        <v>429</v>
      </c>
      <c r="E14" s="2612"/>
      <c r="F14" s="2612"/>
      <c r="M14">
        <f t="shared" si="2"/>
        <v>9</v>
      </c>
      <c r="N14" s="387"/>
      <c r="O14" s="393" t="s">
        <v>430</v>
      </c>
      <c r="P14" s="394" t="s">
        <v>431</v>
      </c>
      <c r="R14" s="23">
        <f t="shared" si="0"/>
        <v>14</v>
      </c>
      <c r="T14" s="244" t="s">
        <v>432</v>
      </c>
      <c r="U14" s="244"/>
      <c r="AB14" s="244" t="s">
        <v>433</v>
      </c>
      <c r="AS14" s="310" t="s">
        <v>349</v>
      </c>
      <c r="AT14" s="395" t="s">
        <v>424</v>
      </c>
      <c r="AU14" s="336" t="s">
        <v>434</v>
      </c>
      <c r="BX14" s="324">
        <v>9</v>
      </c>
      <c r="BY14" s="325" t="s">
        <v>419</v>
      </c>
      <c r="BZ14" s="301" t="s">
        <v>435</v>
      </c>
      <c r="CD14" s="324">
        <v>9</v>
      </c>
      <c r="CE14" s="326" t="s">
        <v>293</v>
      </c>
      <c r="CF14" s="301" t="s">
        <v>436</v>
      </c>
    </row>
    <row r="15" spans="3:84" ht="44.6" thickTop="1" thickBot="1">
      <c r="C15" s="269">
        <f t="shared" si="1"/>
        <v>11</v>
      </c>
      <c r="D15" s="270" t="s">
        <v>437</v>
      </c>
      <c r="E15" s="2613"/>
      <c r="F15" s="2614"/>
      <c r="M15">
        <f t="shared" si="2"/>
        <v>10</v>
      </c>
      <c r="N15" s="387"/>
      <c r="O15" s="388" t="s">
        <v>438</v>
      </c>
      <c r="P15" s="299" t="s">
        <v>439</v>
      </c>
      <c r="R15" s="23">
        <f t="shared" si="0"/>
        <v>15</v>
      </c>
      <c r="T15" s="23"/>
      <c r="U15" s="23"/>
      <c r="AS15" s="310" t="s">
        <v>349</v>
      </c>
      <c r="AT15" s="396" t="s">
        <v>440</v>
      </c>
      <c r="AU15" s="397"/>
      <c r="BX15" s="324">
        <v>10</v>
      </c>
      <c r="BY15" s="325" t="s">
        <v>292</v>
      </c>
      <c r="BZ15" s="301" t="s">
        <v>441</v>
      </c>
      <c r="CD15" s="324">
        <v>10</v>
      </c>
      <c r="CE15" s="326" t="s">
        <v>294</v>
      </c>
      <c r="CF15" s="301" t="s">
        <v>442</v>
      </c>
    </row>
    <row r="16" spans="3:84" ht="33" customHeight="1" thickTop="1" thickBot="1">
      <c r="C16" s="269">
        <f t="shared" si="1"/>
        <v>12</v>
      </c>
      <c r="D16" s="398" t="s">
        <v>443</v>
      </c>
      <c r="E16" s="2599" t="s">
        <v>444</v>
      </c>
      <c r="F16" s="399" t="s">
        <v>445</v>
      </c>
      <c r="M16">
        <f t="shared" si="2"/>
        <v>11</v>
      </c>
      <c r="N16" s="387"/>
      <c r="O16" s="388" t="s">
        <v>446</v>
      </c>
      <c r="P16" s="299" t="s">
        <v>447</v>
      </c>
      <c r="R16" s="23">
        <f t="shared" si="0"/>
        <v>16</v>
      </c>
      <c r="T16" s="2596" t="s">
        <v>312</v>
      </c>
      <c r="U16" s="2598" t="s">
        <v>333</v>
      </c>
      <c r="V16" s="2598"/>
      <c r="W16" s="2598"/>
      <c r="X16" s="2581" t="s">
        <v>325</v>
      </c>
      <c r="AB16" s="2596" t="s">
        <v>312</v>
      </c>
      <c r="AC16" s="2598" t="s">
        <v>333</v>
      </c>
      <c r="AD16" s="2598"/>
      <c r="AE16" s="2598"/>
      <c r="AF16" s="2581" t="s">
        <v>325</v>
      </c>
      <c r="AS16" s="310" t="s">
        <v>349</v>
      </c>
      <c r="AT16" s="400" t="s">
        <v>448</v>
      </c>
      <c r="AU16" s="336" t="s">
        <v>449</v>
      </c>
      <c r="BX16" s="324">
        <v>11</v>
      </c>
      <c r="BY16" s="325" t="s">
        <v>293</v>
      </c>
      <c r="BZ16" s="301" t="s">
        <v>450</v>
      </c>
      <c r="CD16" s="401">
        <v>11</v>
      </c>
      <c r="CE16" s="402" t="s">
        <v>295</v>
      </c>
      <c r="CF16" s="379" t="s">
        <v>451</v>
      </c>
    </row>
    <row r="17" spans="3:78" ht="33" customHeight="1" thickTop="1" thickBot="1">
      <c r="C17" s="269"/>
      <c r="D17" s="398"/>
      <c r="E17" s="2600"/>
      <c r="F17" s="403"/>
      <c r="N17" s="387"/>
      <c r="O17" s="388"/>
      <c r="P17" s="299"/>
      <c r="R17" s="23"/>
      <c r="T17" s="2597"/>
      <c r="U17" s="2583" t="s">
        <v>347</v>
      </c>
      <c r="V17" s="2584"/>
      <c r="W17" s="278"/>
      <c r="X17" s="2582"/>
      <c r="AB17" s="2597"/>
      <c r="AC17" s="2583" t="s">
        <v>347</v>
      </c>
      <c r="AD17" s="2584"/>
      <c r="AE17" s="278"/>
      <c r="AF17" s="2582"/>
      <c r="AS17" s="404" t="s">
        <v>349</v>
      </c>
      <c r="AT17" s="405" t="s">
        <v>448</v>
      </c>
      <c r="AU17" s="406" t="s">
        <v>452</v>
      </c>
      <c r="BX17" s="324">
        <v>12</v>
      </c>
      <c r="BY17" s="325" t="s">
        <v>294</v>
      </c>
      <c r="BZ17" s="301" t="s">
        <v>453</v>
      </c>
    </row>
    <row r="18" spans="3:78" ht="33" customHeight="1" thickTop="1" thickBot="1">
      <c r="C18" s="269">
        <f>1+C16</f>
        <v>13</v>
      </c>
      <c r="D18" s="398" t="s">
        <v>454</v>
      </c>
      <c r="E18" s="2601"/>
      <c r="F18" s="407"/>
      <c r="M18">
        <f>1+M16</f>
        <v>12</v>
      </c>
      <c r="N18" s="408" t="s">
        <v>455</v>
      </c>
      <c r="O18" s="298" t="s">
        <v>456</v>
      </c>
      <c r="P18" s="299" t="s">
        <v>457</v>
      </c>
      <c r="R18" s="23">
        <f>1+R16</f>
        <v>17</v>
      </c>
      <c r="T18" s="302" t="s">
        <v>235</v>
      </c>
      <c r="U18" s="303">
        <v>96</v>
      </c>
      <c r="V18" s="304">
        <v>100</v>
      </c>
      <c r="W18" s="304">
        <v>10</v>
      </c>
      <c r="X18" s="409" t="s">
        <v>458</v>
      </c>
      <c r="AB18" s="302" t="s">
        <v>235</v>
      </c>
      <c r="AC18" s="303">
        <v>96</v>
      </c>
      <c r="AD18" s="304">
        <v>100</v>
      </c>
      <c r="AE18" s="304">
        <v>10</v>
      </c>
      <c r="AF18" s="277" t="s">
        <v>459</v>
      </c>
      <c r="AS18" s="410" t="s">
        <v>460</v>
      </c>
      <c r="AT18" s="411" t="s">
        <v>461</v>
      </c>
      <c r="AU18" s="412"/>
      <c r="BX18" s="401">
        <v>13</v>
      </c>
      <c r="BY18" s="413" t="s">
        <v>295</v>
      </c>
      <c r="BZ18" s="379" t="s">
        <v>462</v>
      </c>
    </row>
    <row r="19" spans="3:78" ht="43.5" customHeight="1" thickTop="1">
      <c r="C19" s="269">
        <f t="shared" si="1"/>
        <v>14</v>
      </c>
      <c r="D19" s="270" t="s">
        <v>463</v>
      </c>
      <c r="E19" s="2591" t="s">
        <v>464</v>
      </c>
      <c r="F19" s="2594" t="s">
        <v>445</v>
      </c>
      <c r="M19">
        <f t="shared" si="2"/>
        <v>13</v>
      </c>
      <c r="N19" s="414"/>
      <c r="O19" s="298" t="s">
        <v>465</v>
      </c>
      <c r="P19" s="415" t="s">
        <v>466</v>
      </c>
      <c r="R19" s="23">
        <f t="shared" si="0"/>
        <v>18</v>
      </c>
      <c r="T19" s="327" t="s">
        <v>261</v>
      </c>
      <c r="U19" s="328">
        <v>80</v>
      </c>
      <c r="V19" s="329">
        <v>95</v>
      </c>
      <c r="W19" s="329">
        <v>8</v>
      </c>
      <c r="X19" s="301" t="s">
        <v>467</v>
      </c>
      <c r="AB19" s="327" t="s">
        <v>261</v>
      </c>
      <c r="AC19" s="328">
        <v>80</v>
      </c>
      <c r="AD19" s="329">
        <v>95</v>
      </c>
      <c r="AE19" s="329">
        <v>8</v>
      </c>
      <c r="AF19" s="301" t="s">
        <v>468</v>
      </c>
      <c r="AS19" s="416" t="s">
        <v>460</v>
      </c>
      <c r="AT19" s="341" t="s">
        <v>469</v>
      </c>
      <c r="AU19" s="417"/>
    </row>
    <row r="20" spans="3:78" ht="42" customHeight="1">
      <c r="C20" s="269">
        <f t="shared" si="1"/>
        <v>15</v>
      </c>
      <c r="D20" s="270" t="s">
        <v>470</v>
      </c>
      <c r="E20" s="2592"/>
      <c r="F20" s="2592"/>
      <c r="M20">
        <f t="shared" si="2"/>
        <v>14</v>
      </c>
      <c r="N20" s="414"/>
      <c r="O20" s="388" t="s">
        <v>471</v>
      </c>
      <c r="P20" s="299" t="s">
        <v>472</v>
      </c>
      <c r="R20" s="23">
        <f t="shared" si="0"/>
        <v>19</v>
      </c>
      <c r="T20" s="348" t="s">
        <v>260</v>
      </c>
      <c r="U20" s="328">
        <v>21</v>
      </c>
      <c r="V20" s="329">
        <v>79</v>
      </c>
      <c r="W20" s="329">
        <v>5</v>
      </c>
      <c r="X20" s="301" t="s">
        <v>473</v>
      </c>
      <c r="AB20" s="348" t="s">
        <v>260</v>
      </c>
      <c r="AC20" s="328">
        <v>21</v>
      </c>
      <c r="AD20" s="329">
        <v>79</v>
      </c>
      <c r="AE20" s="329">
        <v>5</v>
      </c>
      <c r="AF20" s="301" t="s">
        <v>474</v>
      </c>
      <c r="AS20" s="416" t="s">
        <v>460</v>
      </c>
      <c r="AT20" s="418" t="s">
        <v>475</v>
      </c>
      <c r="AU20" s="417"/>
    </row>
    <row r="21" spans="3:78" ht="36" customHeight="1">
      <c r="C21" s="269">
        <f t="shared" si="1"/>
        <v>16</v>
      </c>
      <c r="D21" s="270" t="s">
        <v>476</v>
      </c>
      <c r="E21" s="2592"/>
      <c r="F21" s="2592"/>
      <c r="M21">
        <f t="shared" si="2"/>
        <v>15</v>
      </c>
      <c r="N21" s="414"/>
      <c r="O21" s="388" t="s">
        <v>477</v>
      </c>
      <c r="P21" s="299" t="s">
        <v>478</v>
      </c>
      <c r="R21" s="23">
        <f t="shared" si="0"/>
        <v>20</v>
      </c>
      <c r="T21" s="363" t="s">
        <v>238</v>
      </c>
      <c r="U21" s="328">
        <v>5</v>
      </c>
      <c r="V21" s="329">
        <v>20</v>
      </c>
      <c r="W21" s="329">
        <v>2</v>
      </c>
      <c r="X21" s="419" t="s">
        <v>479</v>
      </c>
      <c r="AB21" s="363" t="s">
        <v>238</v>
      </c>
      <c r="AC21" s="328">
        <v>5</v>
      </c>
      <c r="AD21" s="329">
        <v>20</v>
      </c>
      <c r="AE21" s="329">
        <v>2</v>
      </c>
      <c r="AF21" s="301" t="s">
        <v>480</v>
      </c>
      <c r="AS21" s="416" t="s">
        <v>460</v>
      </c>
      <c r="AT21" s="418" t="s">
        <v>481</v>
      </c>
      <c r="AU21" s="417"/>
    </row>
    <row r="22" spans="3:78" ht="53.25" customHeight="1" thickBot="1">
      <c r="C22" s="269">
        <f t="shared" si="1"/>
        <v>17</v>
      </c>
      <c r="D22" s="270" t="s">
        <v>482</v>
      </c>
      <c r="E22" s="2592"/>
      <c r="F22" s="2592"/>
      <c r="M22">
        <f t="shared" si="2"/>
        <v>16</v>
      </c>
      <c r="N22" s="414"/>
      <c r="O22" s="388" t="s">
        <v>483</v>
      </c>
      <c r="P22" s="299" t="s">
        <v>484</v>
      </c>
      <c r="R22" s="23">
        <f t="shared" si="0"/>
        <v>21</v>
      </c>
      <c r="T22" s="377" t="s">
        <v>348</v>
      </c>
      <c r="U22" s="378">
        <v>0</v>
      </c>
      <c r="V22" s="138">
        <v>4</v>
      </c>
      <c r="W22" s="138">
        <v>0</v>
      </c>
      <c r="X22" s="379" t="s">
        <v>485</v>
      </c>
      <c r="AB22" s="377" t="s">
        <v>348</v>
      </c>
      <c r="AC22" s="378">
        <v>0</v>
      </c>
      <c r="AD22" s="138">
        <v>4</v>
      </c>
      <c r="AE22" s="138">
        <v>0</v>
      </c>
      <c r="AF22" s="379" t="s">
        <v>486</v>
      </c>
      <c r="AS22" s="416" t="s">
        <v>460</v>
      </c>
      <c r="AT22" s="418" t="s">
        <v>487</v>
      </c>
      <c r="AU22" s="417"/>
    </row>
    <row r="23" spans="3:78" ht="26.6" thickTop="1" thickBot="1">
      <c r="C23" s="269">
        <f t="shared" si="1"/>
        <v>18</v>
      </c>
      <c r="D23" s="270" t="s">
        <v>488</v>
      </c>
      <c r="E23" s="2592"/>
      <c r="F23" s="2592"/>
      <c r="M23">
        <f t="shared" si="2"/>
        <v>17</v>
      </c>
      <c r="N23" s="414"/>
      <c r="O23" s="388" t="s">
        <v>489</v>
      </c>
      <c r="P23" s="299" t="s">
        <v>490</v>
      </c>
      <c r="R23" s="23">
        <f t="shared" si="0"/>
        <v>22</v>
      </c>
      <c r="T23" s="23"/>
      <c r="U23" s="23"/>
      <c r="AS23" s="420" t="s">
        <v>460</v>
      </c>
      <c r="AT23" s="421" t="s">
        <v>491</v>
      </c>
      <c r="AU23" s="422"/>
    </row>
    <row r="24" spans="3:78" ht="26.15" thickTop="1">
      <c r="C24" s="269">
        <f t="shared" si="1"/>
        <v>19</v>
      </c>
      <c r="D24" s="270" t="s">
        <v>492</v>
      </c>
      <c r="E24" s="2592"/>
      <c r="F24" s="2592"/>
      <c r="M24">
        <f t="shared" si="2"/>
        <v>18</v>
      </c>
      <c r="N24" s="414"/>
      <c r="O24" s="298" t="s">
        <v>493</v>
      </c>
      <c r="P24" s="299" t="s">
        <v>494</v>
      </c>
      <c r="R24" s="23">
        <f t="shared" si="0"/>
        <v>23</v>
      </c>
      <c r="T24" s="23"/>
      <c r="U24" s="23"/>
      <c r="AS24" s="423" t="s">
        <v>495</v>
      </c>
      <c r="AT24" s="424" t="s">
        <v>496</v>
      </c>
      <c r="AU24" s="412"/>
    </row>
    <row r="25" spans="3:78" ht="15.9">
      <c r="C25" s="269">
        <f t="shared" si="1"/>
        <v>20</v>
      </c>
      <c r="D25" s="270" t="s">
        <v>497</v>
      </c>
      <c r="E25" s="2592"/>
      <c r="F25" s="2592"/>
      <c r="M25">
        <f t="shared" si="2"/>
        <v>19</v>
      </c>
      <c r="N25" s="414"/>
      <c r="O25" s="388" t="s">
        <v>498</v>
      </c>
      <c r="P25" s="299" t="s">
        <v>499</v>
      </c>
      <c r="R25" s="23">
        <f t="shared" si="0"/>
        <v>24</v>
      </c>
      <c r="T25" s="425" t="s">
        <v>500</v>
      </c>
      <c r="U25" s="23"/>
      <c r="AB25" s="426" t="s">
        <v>501</v>
      </c>
      <c r="AS25" s="427" t="s">
        <v>495</v>
      </c>
      <c r="AT25" s="428" t="s">
        <v>502</v>
      </c>
      <c r="AU25" s="417"/>
    </row>
    <row r="26" spans="3:78" ht="15" thickBot="1">
      <c r="C26" s="269">
        <f t="shared" si="1"/>
        <v>21</v>
      </c>
      <c r="D26" s="270" t="s">
        <v>503</v>
      </c>
      <c r="E26" s="2592"/>
      <c r="F26" s="2592"/>
      <c r="M26">
        <f t="shared" si="2"/>
        <v>20</v>
      </c>
      <c r="N26" s="414"/>
      <c r="O26" s="298" t="s">
        <v>504</v>
      </c>
      <c r="P26" s="299" t="s">
        <v>505</v>
      </c>
      <c r="R26" s="23">
        <f t="shared" si="0"/>
        <v>25</v>
      </c>
      <c r="T26" s="23"/>
      <c r="U26" s="23"/>
      <c r="AS26" s="427" t="s">
        <v>495</v>
      </c>
      <c r="AT26" s="428" t="s">
        <v>506</v>
      </c>
      <c r="AU26" s="417"/>
    </row>
    <row r="27" spans="3:78" ht="15" thickTop="1">
      <c r="C27" s="269">
        <f t="shared" si="1"/>
        <v>22</v>
      </c>
      <c r="D27" s="270" t="s">
        <v>507</v>
      </c>
      <c r="E27" s="2592"/>
      <c r="F27" s="2592"/>
      <c r="M27">
        <f t="shared" si="2"/>
        <v>21</v>
      </c>
      <c r="N27" s="414"/>
      <c r="O27" s="298" t="s">
        <v>508</v>
      </c>
      <c r="P27" s="299" t="s">
        <v>509</v>
      </c>
      <c r="R27" s="23">
        <f t="shared" si="0"/>
        <v>26</v>
      </c>
      <c r="T27" s="2596" t="s">
        <v>312</v>
      </c>
      <c r="U27" s="2598" t="s">
        <v>333</v>
      </c>
      <c r="V27" s="2598"/>
      <c r="W27" s="2598"/>
      <c r="X27" s="2581" t="s">
        <v>325</v>
      </c>
      <c r="AB27" s="2596" t="s">
        <v>312</v>
      </c>
      <c r="AC27" s="2598" t="s">
        <v>333</v>
      </c>
      <c r="AD27" s="2598"/>
      <c r="AE27" s="2598"/>
      <c r="AF27" s="2581" t="s">
        <v>325</v>
      </c>
      <c r="AS27" s="427" t="s">
        <v>495</v>
      </c>
      <c r="AT27" s="428" t="s">
        <v>510</v>
      </c>
      <c r="AU27" s="417"/>
    </row>
    <row r="28" spans="3:78" ht="15" thickBot="1">
      <c r="C28" s="269">
        <f t="shared" si="1"/>
        <v>23</v>
      </c>
      <c r="D28" s="270" t="s">
        <v>511</v>
      </c>
      <c r="E28" s="2592"/>
      <c r="F28" s="2592"/>
      <c r="M28">
        <f t="shared" si="2"/>
        <v>22</v>
      </c>
      <c r="N28" s="414"/>
      <c r="O28" s="298" t="s">
        <v>512</v>
      </c>
      <c r="P28" s="299" t="s">
        <v>513</v>
      </c>
      <c r="R28" s="23">
        <f t="shared" si="0"/>
        <v>27</v>
      </c>
      <c r="T28" s="2597"/>
      <c r="U28" s="2583" t="s">
        <v>347</v>
      </c>
      <c r="V28" s="2584"/>
      <c r="W28" s="278"/>
      <c r="X28" s="2582"/>
      <c r="AB28" s="2597"/>
      <c r="AC28" s="2583" t="s">
        <v>347</v>
      </c>
      <c r="AD28" s="2584"/>
      <c r="AE28" s="278"/>
      <c r="AF28" s="2582"/>
      <c r="AS28" s="429" t="s">
        <v>495</v>
      </c>
      <c r="AT28" s="430" t="s">
        <v>514</v>
      </c>
      <c r="AU28" s="422"/>
    </row>
    <row r="29" spans="3:78" ht="51.75" customHeight="1" thickTop="1">
      <c r="C29" s="269">
        <f t="shared" si="1"/>
        <v>24</v>
      </c>
      <c r="D29" s="270" t="s">
        <v>515</v>
      </c>
      <c r="E29" s="2592"/>
      <c r="F29" s="2592"/>
      <c r="M29">
        <f t="shared" si="2"/>
        <v>23</v>
      </c>
      <c r="N29" s="414"/>
      <c r="O29" s="298" t="s">
        <v>516</v>
      </c>
      <c r="P29" s="299" t="s">
        <v>517</v>
      </c>
      <c r="R29" s="23">
        <f t="shared" si="0"/>
        <v>28</v>
      </c>
      <c r="T29" s="302" t="s">
        <v>235</v>
      </c>
      <c r="U29" s="303">
        <v>96</v>
      </c>
      <c r="V29" s="304">
        <v>100</v>
      </c>
      <c r="W29" s="304">
        <v>10</v>
      </c>
      <c r="X29" s="409" t="s">
        <v>518</v>
      </c>
      <c r="AB29" s="302" t="s">
        <v>235</v>
      </c>
      <c r="AC29" s="303">
        <v>96</v>
      </c>
      <c r="AD29" s="304">
        <v>100</v>
      </c>
      <c r="AE29" s="304">
        <v>10</v>
      </c>
      <c r="AF29" s="277" t="s">
        <v>519</v>
      </c>
      <c r="AS29" s="431" t="s">
        <v>520</v>
      </c>
      <c r="AT29" s="432" t="s">
        <v>424</v>
      </c>
      <c r="AU29" s="286" t="s">
        <v>425</v>
      </c>
    </row>
    <row r="30" spans="3:78" ht="48" customHeight="1" thickBot="1">
      <c r="C30" s="269">
        <f t="shared" si="1"/>
        <v>25</v>
      </c>
      <c r="D30" s="270" t="s">
        <v>521</v>
      </c>
      <c r="E30" s="2592"/>
      <c r="F30" s="2592"/>
      <c r="M30">
        <f t="shared" si="2"/>
        <v>24</v>
      </c>
      <c r="N30" s="414"/>
      <c r="O30" s="388" t="s">
        <v>522</v>
      </c>
      <c r="P30" s="299" t="s">
        <v>523</v>
      </c>
      <c r="R30" s="23">
        <f t="shared" si="0"/>
        <v>29</v>
      </c>
      <c r="T30" s="327" t="s">
        <v>261</v>
      </c>
      <c r="U30" s="328">
        <v>80</v>
      </c>
      <c r="V30" s="329">
        <v>95</v>
      </c>
      <c r="W30" s="329">
        <v>8</v>
      </c>
      <c r="X30" s="301" t="s">
        <v>524</v>
      </c>
      <c r="AB30" s="327" t="s">
        <v>261</v>
      </c>
      <c r="AC30" s="328">
        <v>80</v>
      </c>
      <c r="AD30" s="329">
        <v>95</v>
      </c>
      <c r="AE30" s="329">
        <v>8</v>
      </c>
      <c r="AF30" s="301" t="s">
        <v>525</v>
      </c>
      <c r="AS30" s="433" t="s">
        <v>520</v>
      </c>
      <c r="AT30" s="434" t="s">
        <v>424</v>
      </c>
      <c r="AU30" s="406" t="s">
        <v>526</v>
      </c>
    </row>
    <row r="31" spans="3:78" ht="49.5" customHeight="1" thickTop="1" thickBot="1">
      <c r="C31" s="269">
        <f t="shared" si="1"/>
        <v>26</v>
      </c>
      <c r="D31" s="270" t="s">
        <v>527</v>
      </c>
      <c r="E31" s="2592"/>
      <c r="F31" s="2592"/>
      <c r="M31">
        <f t="shared" si="2"/>
        <v>25</v>
      </c>
      <c r="N31" s="435" t="s">
        <v>528</v>
      </c>
      <c r="O31" s="393" t="s">
        <v>529</v>
      </c>
      <c r="P31" s="299" t="s">
        <v>530</v>
      </c>
      <c r="R31" s="23">
        <f t="shared" si="0"/>
        <v>30</v>
      </c>
      <c r="T31" s="348" t="s">
        <v>260</v>
      </c>
      <c r="U31" s="328">
        <v>21</v>
      </c>
      <c r="V31" s="329">
        <v>79</v>
      </c>
      <c r="W31" s="329">
        <v>5</v>
      </c>
      <c r="X31" s="301" t="s">
        <v>531</v>
      </c>
      <c r="AB31" s="348" t="s">
        <v>260</v>
      </c>
      <c r="AC31" s="328">
        <v>21</v>
      </c>
      <c r="AD31" s="329">
        <v>79</v>
      </c>
      <c r="AE31" s="329">
        <v>5</v>
      </c>
      <c r="AF31" s="301" t="s">
        <v>532</v>
      </c>
      <c r="AS31" s="433" t="s">
        <v>520</v>
      </c>
      <c r="AT31" s="418" t="s">
        <v>440</v>
      </c>
      <c r="AU31" s="436"/>
    </row>
    <row r="32" spans="3:78" ht="30" thickTop="1" thickBot="1">
      <c r="C32" s="269">
        <f t="shared" si="1"/>
        <v>27</v>
      </c>
      <c r="D32" s="270" t="s">
        <v>511</v>
      </c>
      <c r="E32" s="2593"/>
      <c r="F32" s="2595"/>
      <c r="M32">
        <f t="shared" si="2"/>
        <v>26</v>
      </c>
      <c r="N32" s="437"/>
      <c r="O32" s="388" t="s">
        <v>533</v>
      </c>
      <c r="P32" s="299" t="s">
        <v>534</v>
      </c>
      <c r="R32" s="23">
        <f t="shared" si="0"/>
        <v>31</v>
      </c>
      <c r="T32" s="363" t="s">
        <v>238</v>
      </c>
      <c r="U32" s="328">
        <v>5</v>
      </c>
      <c r="V32" s="329">
        <v>20</v>
      </c>
      <c r="W32" s="329">
        <v>2</v>
      </c>
      <c r="X32" s="419" t="s">
        <v>535</v>
      </c>
      <c r="AB32" s="363" t="s">
        <v>238</v>
      </c>
      <c r="AC32" s="328">
        <v>5</v>
      </c>
      <c r="AD32" s="329">
        <v>20</v>
      </c>
      <c r="AE32" s="329">
        <v>2</v>
      </c>
      <c r="AF32" s="301" t="s">
        <v>536</v>
      </c>
      <c r="AS32" s="433" t="s">
        <v>520</v>
      </c>
      <c r="AT32" s="438" t="s">
        <v>448</v>
      </c>
      <c r="AU32" s="286" t="s">
        <v>449</v>
      </c>
    </row>
    <row r="33" spans="3:47" ht="56.25" customHeight="1" thickTop="1" thickBot="1">
      <c r="C33" s="269">
        <f t="shared" si="1"/>
        <v>28</v>
      </c>
      <c r="D33" s="439" t="s">
        <v>537</v>
      </c>
      <c r="E33" s="2585" t="s">
        <v>538</v>
      </c>
      <c r="F33" s="2588" t="s">
        <v>445</v>
      </c>
      <c r="M33">
        <f t="shared" si="2"/>
        <v>27</v>
      </c>
      <c r="N33" s="437"/>
      <c r="O33" s="298" t="s">
        <v>539</v>
      </c>
      <c r="P33" s="299" t="s">
        <v>540</v>
      </c>
      <c r="R33" s="23">
        <f t="shared" si="0"/>
        <v>32</v>
      </c>
      <c r="T33" s="377" t="s">
        <v>348</v>
      </c>
      <c r="U33" s="378">
        <v>0</v>
      </c>
      <c r="V33" s="138">
        <v>4</v>
      </c>
      <c r="W33" s="138">
        <v>0</v>
      </c>
      <c r="X33" s="379" t="s">
        <v>541</v>
      </c>
      <c r="AB33" s="377" t="s">
        <v>348</v>
      </c>
      <c r="AC33" s="378">
        <v>0</v>
      </c>
      <c r="AD33" s="138">
        <v>4</v>
      </c>
      <c r="AE33" s="138">
        <v>0</v>
      </c>
      <c r="AF33" s="379" t="s">
        <v>542</v>
      </c>
      <c r="AS33" s="440" t="s">
        <v>520</v>
      </c>
      <c r="AT33" s="441" t="s">
        <v>448</v>
      </c>
      <c r="AU33" s="406" t="s">
        <v>543</v>
      </c>
    </row>
    <row r="34" spans="3:47" ht="26.15" thickTop="1">
      <c r="C34" s="269">
        <f t="shared" si="1"/>
        <v>29</v>
      </c>
      <c r="D34" s="439" t="s">
        <v>544</v>
      </c>
      <c r="E34" s="2586"/>
      <c r="F34" s="2589"/>
      <c r="M34">
        <f t="shared" si="2"/>
        <v>28</v>
      </c>
      <c r="N34" s="437"/>
      <c r="O34" s="388" t="s">
        <v>545</v>
      </c>
      <c r="P34" s="299" t="s">
        <v>546</v>
      </c>
      <c r="R34" s="23">
        <f t="shared" si="0"/>
        <v>33</v>
      </c>
      <c r="T34" s="23"/>
      <c r="U34" s="23"/>
      <c r="AS34" s="423" t="s">
        <v>547</v>
      </c>
      <c r="AT34" s="424" t="s">
        <v>548</v>
      </c>
      <c r="AU34" s="412"/>
    </row>
    <row r="35" spans="3:47" ht="26.15" thickBot="1">
      <c r="C35" s="269">
        <f t="shared" si="1"/>
        <v>30</v>
      </c>
      <c r="D35" s="439" t="s">
        <v>549</v>
      </c>
      <c r="E35" s="2586"/>
      <c r="F35" s="2589"/>
      <c r="M35">
        <f t="shared" si="2"/>
        <v>29</v>
      </c>
      <c r="N35" s="437"/>
      <c r="O35" s="388" t="s">
        <v>550</v>
      </c>
      <c r="P35" s="299" t="s">
        <v>551</v>
      </c>
      <c r="R35" s="23">
        <f t="shared" si="0"/>
        <v>34</v>
      </c>
      <c r="T35" s="23"/>
      <c r="U35" s="23"/>
      <c r="AS35" s="427" t="s">
        <v>547</v>
      </c>
      <c r="AT35" s="428" t="s">
        <v>552</v>
      </c>
      <c r="AU35" s="422"/>
    </row>
    <row r="36" spans="3:47" ht="15" thickTop="1">
      <c r="C36" s="269">
        <f t="shared" si="1"/>
        <v>31</v>
      </c>
      <c r="D36" s="439" t="s">
        <v>553</v>
      </c>
      <c r="E36" s="2586"/>
      <c r="F36" s="2589"/>
      <c r="M36">
        <f t="shared" si="2"/>
        <v>30</v>
      </c>
      <c r="N36" s="437"/>
      <c r="O36" s="298" t="s">
        <v>554</v>
      </c>
      <c r="P36" s="299" t="s">
        <v>555</v>
      </c>
      <c r="R36" s="23">
        <f t="shared" si="0"/>
        <v>35</v>
      </c>
      <c r="T36" s="23"/>
      <c r="U36" s="23"/>
      <c r="AS36" s="427" t="s">
        <v>547</v>
      </c>
      <c r="AT36" s="442" t="s">
        <v>448</v>
      </c>
      <c r="AU36" s="286" t="s">
        <v>556</v>
      </c>
    </row>
    <row r="37" spans="3:47">
      <c r="C37" s="269">
        <f t="shared" si="1"/>
        <v>32</v>
      </c>
      <c r="D37" s="439" t="s">
        <v>557</v>
      </c>
      <c r="E37" s="2586"/>
      <c r="F37" s="2589"/>
      <c r="M37">
        <f t="shared" si="2"/>
        <v>31</v>
      </c>
      <c r="N37" s="437"/>
      <c r="O37" s="298" t="s">
        <v>558</v>
      </c>
      <c r="P37" s="299" t="s">
        <v>559</v>
      </c>
      <c r="R37" s="23">
        <f t="shared" si="0"/>
        <v>36</v>
      </c>
      <c r="T37" s="23"/>
      <c r="U37" s="23"/>
      <c r="AS37" s="427" t="s">
        <v>547</v>
      </c>
      <c r="AT37" s="443" t="s">
        <v>448</v>
      </c>
      <c r="AU37" s="336" t="s">
        <v>560</v>
      </c>
    </row>
    <row r="38" spans="3:47" ht="26.25" customHeight="1" thickBot="1">
      <c r="C38" s="269">
        <f t="shared" si="1"/>
        <v>33</v>
      </c>
      <c r="D38" s="439" t="s">
        <v>561</v>
      </c>
      <c r="E38" s="2586"/>
      <c r="F38" s="2589"/>
      <c r="M38">
        <f t="shared" si="2"/>
        <v>32</v>
      </c>
      <c r="N38" s="437"/>
      <c r="O38" s="298" t="s">
        <v>562</v>
      </c>
      <c r="P38" s="299" t="s">
        <v>563</v>
      </c>
      <c r="R38" s="23">
        <f t="shared" si="0"/>
        <v>37</v>
      </c>
      <c r="T38" s="23"/>
      <c r="U38" s="23"/>
      <c r="AS38" s="429" t="s">
        <v>547</v>
      </c>
      <c r="AT38" s="430" t="s">
        <v>564</v>
      </c>
      <c r="AU38" s="406" t="s">
        <v>565</v>
      </c>
    </row>
    <row r="39" spans="3:47" ht="15" thickTop="1">
      <c r="C39" s="269">
        <f t="shared" si="1"/>
        <v>34</v>
      </c>
      <c r="D39" s="439" t="s">
        <v>566</v>
      </c>
      <c r="E39" s="2586"/>
      <c r="F39" s="2589"/>
      <c r="M39">
        <f t="shared" si="2"/>
        <v>33</v>
      </c>
      <c r="N39" s="437"/>
      <c r="O39" s="388" t="s">
        <v>567</v>
      </c>
      <c r="P39" s="299" t="s">
        <v>568</v>
      </c>
      <c r="R39" s="23">
        <f t="shared" si="0"/>
        <v>38</v>
      </c>
      <c r="T39" s="23"/>
      <c r="U39" s="23"/>
    </row>
    <row r="40" spans="3:47">
      <c r="C40" s="269">
        <f t="shared" si="1"/>
        <v>35</v>
      </c>
      <c r="D40" s="439" t="s">
        <v>569</v>
      </c>
      <c r="E40" s="2586"/>
      <c r="F40" s="2589"/>
      <c r="M40">
        <f t="shared" si="2"/>
        <v>34</v>
      </c>
      <c r="N40" s="437"/>
      <c r="O40" s="388" t="s">
        <v>570</v>
      </c>
      <c r="P40" s="299" t="s">
        <v>571</v>
      </c>
      <c r="R40" s="23">
        <f t="shared" si="0"/>
        <v>39</v>
      </c>
      <c r="T40" s="23"/>
      <c r="U40" s="23"/>
    </row>
    <row r="41" spans="3:47">
      <c r="C41" s="269">
        <f t="shared" si="1"/>
        <v>36</v>
      </c>
      <c r="D41" s="439" t="s">
        <v>572</v>
      </c>
      <c r="E41" s="2586"/>
      <c r="F41" s="2589"/>
      <c r="M41">
        <f t="shared" si="2"/>
        <v>35</v>
      </c>
      <c r="N41" s="437"/>
      <c r="O41" s="298" t="s">
        <v>573</v>
      </c>
      <c r="P41" s="415" t="s">
        <v>574</v>
      </c>
      <c r="R41" s="23">
        <f t="shared" si="0"/>
        <v>40</v>
      </c>
      <c r="T41" s="23"/>
      <c r="U41" s="23"/>
    </row>
    <row r="42" spans="3:47">
      <c r="C42" s="269">
        <f t="shared" si="1"/>
        <v>37</v>
      </c>
      <c r="D42" s="439" t="s">
        <v>575</v>
      </c>
      <c r="E42" s="2586"/>
      <c r="F42" s="2589"/>
      <c r="M42">
        <f t="shared" si="2"/>
        <v>36</v>
      </c>
      <c r="N42" s="437"/>
      <c r="O42" s="388" t="s">
        <v>576</v>
      </c>
      <c r="P42" s="299" t="s">
        <v>577</v>
      </c>
      <c r="R42" s="23">
        <f t="shared" si="0"/>
        <v>41</v>
      </c>
      <c r="T42" s="23"/>
      <c r="U42" s="23"/>
    </row>
    <row r="43" spans="3:47">
      <c r="C43" s="269">
        <f t="shared" si="1"/>
        <v>38</v>
      </c>
      <c r="D43" s="439" t="s">
        <v>578</v>
      </c>
      <c r="E43" s="2586"/>
      <c r="F43" s="2589"/>
      <c r="M43">
        <f t="shared" si="2"/>
        <v>37</v>
      </c>
      <c r="N43" s="437"/>
      <c r="O43" s="388" t="s">
        <v>579</v>
      </c>
      <c r="P43" s="299" t="s">
        <v>580</v>
      </c>
      <c r="R43" s="23">
        <f t="shared" si="0"/>
        <v>42</v>
      </c>
      <c r="T43" s="23"/>
      <c r="U43" s="23"/>
    </row>
    <row r="44" spans="3:47" ht="15" thickBot="1">
      <c r="C44" s="444">
        <f t="shared" si="1"/>
        <v>39</v>
      </c>
      <c r="D44" s="445" t="s">
        <v>581</v>
      </c>
      <c r="E44" s="2587"/>
      <c r="F44" s="2590"/>
      <c r="M44">
        <f t="shared" si="2"/>
        <v>38</v>
      </c>
      <c r="N44" s="437"/>
      <c r="O44" s="388" t="s">
        <v>582</v>
      </c>
      <c r="P44" s="299" t="s">
        <v>583</v>
      </c>
      <c r="R44" s="23">
        <f t="shared" si="0"/>
        <v>43</v>
      </c>
      <c r="T44" s="23"/>
      <c r="U44" s="23"/>
    </row>
    <row r="45" spans="3:47" ht="15" thickTop="1">
      <c r="M45">
        <f t="shared" si="2"/>
        <v>39</v>
      </c>
      <c r="N45" s="437"/>
      <c r="O45" s="388" t="s">
        <v>584</v>
      </c>
      <c r="P45" s="299" t="s">
        <v>585</v>
      </c>
      <c r="R45" s="23">
        <f t="shared" si="0"/>
        <v>44</v>
      </c>
      <c r="T45" s="23"/>
      <c r="U45" s="23"/>
    </row>
    <row r="46" spans="3:47">
      <c r="M46">
        <f t="shared" si="2"/>
        <v>40</v>
      </c>
      <c r="N46" s="437"/>
      <c r="O46" s="388" t="s">
        <v>586</v>
      </c>
      <c r="P46" s="299" t="s">
        <v>587</v>
      </c>
      <c r="R46" s="23">
        <f t="shared" si="0"/>
        <v>45</v>
      </c>
      <c r="T46" s="23"/>
      <c r="U46" s="23"/>
    </row>
    <row r="47" spans="3:47" ht="26.15">
      <c r="M47">
        <f t="shared" si="2"/>
        <v>41</v>
      </c>
      <c r="N47" s="437"/>
      <c r="O47" s="388" t="s">
        <v>588</v>
      </c>
      <c r="P47" s="299" t="s">
        <v>589</v>
      </c>
      <c r="R47" s="23">
        <f t="shared" si="0"/>
        <v>46</v>
      </c>
      <c r="T47" s="23"/>
      <c r="U47" s="23"/>
    </row>
    <row r="48" spans="3:47" ht="25.75">
      <c r="M48">
        <f t="shared" si="2"/>
        <v>42</v>
      </c>
      <c r="N48" s="446" t="s">
        <v>590</v>
      </c>
      <c r="O48" s="388" t="s">
        <v>591</v>
      </c>
      <c r="P48" s="299" t="s">
        <v>592</v>
      </c>
      <c r="R48" s="23">
        <f t="shared" si="0"/>
        <v>47</v>
      </c>
      <c r="T48" s="23"/>
      <c r="U48" s="23"/>
    </row>
    <row r="49" spans="13:21">
      <c r="M49">
        <f t="shared" si="2"/>
        <v>43</v>
      </c>
      <c r="N49" s="447"/>
      <c r="O49" s="298" t="s">
        <v>593</v>
      </c>
      <c r="P49" s="415" t="s">
        <v>594</v>
      </c>
      <c r="R49" s="23">
        <f t="shared" si="0"/>
        <v>48</v>
      </c>
      <c r="T49" s="23"/>
      <c r="U49" s="23"/>
    </row>
    <row r="50" spans="13:21">
      <c r="M50">
        <f t="shared" si="2"/>
        <v>44</v>
      </c>
      <c r="N50" s="447"/>
      <c r="O50" s="298" t="s">
        <v>595</v>
      </c>
      <c r="P50" s="299" t="s">
        <v>596</v>
      </c>
      <c r="R50" s="23">
        <f t="shared" si="0"/>
        <v>49</v>
      </c>
      <c r="T50" s="23"/>
      <c r="U50" s="23"/>
    </row>
    <row r="51" spans="13:21" ht="25.75">
      <c r="M51">
        <f t="shared" si="2"/>
        <v>45</v>
      </c>
      <c r="N51" s="447"/>
      <c r="O51" s="298" t="s">
        <v>597</v>
      </c>
      <c r="P51" s="299" t="s">
        <v>598</v>
      </c>
      <c r="R51" s="23">
        <f t="shared" si="0"/>
        <v>50</v>
      </c>
      <c r="T51" s="23"/>
      <c r="U51" s="23"/>
    </row>
    <row r="52" spans="13:21">
      <c r="M52">
        <f t="shared" si="2"/>
        <v>46</v>
      </c>
      <c r="N52" s="447"/>
      <c r="O52" s="298" t="s">
        <v>599</v>
      </c>
      <c r="P52" s="299" t="s">
        <v>600</v>
      </c>
      <c r="R52" s="23">
        <f t="shared" si="0"/>
        <v>51</v>
      </c>
      <c r="T52" s="23"/>
      <c r="U52" s="23"/>
    </row>
    <row r="53" spans="13:21">
      <c r="M53">
        <f t="shared" si="2"/>
        <v>47</v>
      </c>
      <c r="N53" s="447"/>
      <c r="O53" s="298" t="s">
        <v>601</v>
      </c>
      <c r="P53" s="299" t="s">
        <v>602</v>
      </c>
      <c r="R53" s="23">
        <f t="shared" si="0"/>
        <v>52</v>
      </c>
      <c r="T53" s="23"/>
      <c r="U53" s="23"/>
    </row>
    <row r="54" spans="13:21">
      <c r="M54">
        <f t="shared" si="2"/>
        <v>48</v>
      </c>
      <c r="N54" s="447"/>
      <c r="O54" s="298" t="s">
        <v>603</v>
      </c>
      <c r="P54" s="299" t="s">
        <v>604</v>
      </c>
      <c r="R54" s="23">
        <f t="shared" si="0"/>
        <v>53</v>
      </c>
      <c r="T54" s="23"/>
      <c r="U54" s="23"/>
    </row>
    <row r="55" spans="13:21">
      <c r="M55">
        <f t="shared" si="2"/>
        <v>49</v>
      </c>
      <c r="N55" s="447"/>
      <c r="O55" s="298" t="s">
        <v>605</v>
      </c>
      <c r="P55" s="299" t="s">
        <v>606</v>
      </c>
      <c r="R55" s="23">
        <f t="shared" si="0"/>
        <v>54</v>
      </c>
      <c r="T55" s="23"/>
      <c r="U55" s="23"/>
    </row>
    <row r="56" spans="13:21">
      <c r="M56">
        <f t="shared" si="2"/>
        <v>50</v>
      </c>
      <c r="N56" s="447"/>
      <c r="O56" s="298" t="s">
        <v>607</v>
      </c>
      <c r="P56" s="299" t="s">
        <v>608</v>
      </c>
      <c r="R56" s="23">
        <f t="shared" si="0"/>
        <v>55</v>
      </c>
      <c r="T56" s="23"/>
      <c r="U56" s="23"/>
    </row>
    <row r="57" spans="13:21">
      <c r="M57">
        <f t="shared" si="2"/>
        <v>51</v>
      </c>
      <c r="N57" s="447"/>
      <c r="O57" s="388" t="s">
        <v>609</v>
      </c>
      <c r="P57" s="299" t="s">
        <v>610</v>
      </c>
      <c r="R57" s="23">
        <f t="shared" si="0"/>
        <v>56</v>
      </c>
      <c r="T57" s="23"/>
      <c r="U57" s="23"/>
    </row>
    <row r="58" spans="13:21">
      <c r="N58" s="447"/>
      <c r="O58" s="388" t="s">
        <v>611</v>
      </c>
      <c r="P58" s="415" t="s">
        <v>612</v>
      </c>
      <c r="R58" s="23">
        <f t="shared" si="0"/>
        <v>57</v>
      </c>
      <c r="T58" s="23"/>
      <c r="U58" s="23"/>
    </row>
    <row r="59" spans="13:21">
      <c r="N59" s="447"/>
      <c r="O59" s="388" t="s">
        <v>613</v>
      </c>
      <c r="P59" s="394" t="s">
        <v>614</v>
      </c>
      <c r="R59" s="23">
        <f t="shared" si="0"/>
        <v>58</v>
      </c>
      <c r="T59" s="23"/>
      <c r="U59" s="23"/>
    </row>
    <row r="60" spans="13:21">
      <c r="N60" s="447"/>
      <c r="O60" s="388" t="s">
        <v>615</v>
      </c>
      <c r="P60" s="299" t="s">
        <v>616</v>
      </c>
      <c r="R60" s="23">
        <f t="shared" si="0"/>
        <v>59</v>
      </c>
      <c r="T60" s="23"/>
      <c r="U60" s="23"/>
    </row>
    <row r="61" spans="13:21">
      <c r="N61" s="447"/>
      <c r="O61" s="388" t="s">
        <v>617</v>
      </c>
      <c r="P61" s="299" t="s">
        <v>618</v>
      </c>
      <c r="R61" s="23">
        <f t="shared" si="0"/>
        <v>60</v>
      </c>
      <c r="T61" s="23"/>
      <c r="U61" s="23"/>
    </row>
    <row r="62" spans="13:21" ht="25.75">
      <c r="N62" s="447"/>
      <c r="O62" s="298" t="s">
        <v>619</v>
      </c>
      <c r="P62" s="299" t="s">
        <v>620</v>
      </c>
      <c r="R62" s="23">
        <f t="shared" si="0"/>
        <v>61</v>
      </c>
      <c r="T62" s="23"/>
      <c r="U62" s="23"/>
    </row>
    <row r="63" spans="13:21" ht="38.6">
      <c r="N63" s="447"/>
      <c r="O63" s="388" t="s">
        <v>621</v>
      </c>
      <c r="P63" s="299" t="s">
        <v>622</v>
      </c>
      <c r="R63" s="23">
        <f t="shared" si="0"/>
        <v>62</v>
      </c>
      <c r="T63" s="23"/>
      <c r="U63" s="23"/>
    </row>
    <row r="64" spans="13:21">
      <c r="N64" s="447"/>
      <c r="O64" s="298" t="s">
        <v>623</v>
      </c>
      <c r="P64" s="394" t="s">
        <v>624</v>
      </c>
      <c r="R64" s="23">
        <f t="shared" si="0"/>
        <v>63</v>
      </c>
      <c r="T64" s="23"/>
      <c r="U64" s="23"/>
    </row>
    <row r="65" spans="14:21" ht="25.75">
      <c r="N65" s="447"/>
      <c r="O65" s="298" t="s">
        <v>625</v>
      </c>
      <c r="P65" s="299" t="s">
        <v>626</v>
      </c>
      <c r="R65" s="23">
        <f t="shared" si="0"/>
        <v>64</v>
      </c>
      <c r="T65" s="23"/>
      <c r="U65" s="23"/>
    </row>
    <row r="66" spans="14:21">
      <c r="N66" s="447"/>
      <c r="O66" s="298" t="s">
        <v>627</v>
      </c>
      <c r="P66" s="415" t="s">
        <v>628</v>
      </c>
      <c r="R66" s="23">
        <f t="shared" si="0"/>
        <v>65</v>
      </c>
      <c r="T66" s="23"/>
      <c r="U66" s="23"/>
    </row>
    <row r="67" spans="14:21" ht="25.75">
      <c r="N67" s="447"/>
      <c r="O67" s="298" t="s">
        <v>629</v>
      </c>
      <c r="P67" s="299" t="s">
        <v>630</v>
      </c>
      <c r="R67" s="23">
        <f t="shared" ref="R67:R107" si="3">1+R66</f>
        <v>66</v>
      </c>
      <c r="T67" s="23"/>
      <c r="U67" s="23"/>
    </row>
    <row r="68" spans="14:21" ht="26.15">
      <c r="N68" s="447"/>
      <c r="O68" s="388" t="s">
        <v>631</v>
      </c>
      <c r="P68" s="415" t="s">
        <v>632</v>
      </c>
      <c r="R68" s="23">
        <f t="shared" si="3"/>
        <v>67</v>
      </c>
      <c r="T68" s="23"/>
      <c r="U68" s="23"/>
    </row>
    <row r="69" spans="14:21">
      <c r="N69" s="448" t="s">
        <v>633</v>
      </c>
      <c r="O69" s="388" t="s">
        <v>634</v>
      </c>
      <c r="P69" s="299" t="s">
        <v>635</v>
      </c>
      <c r="R69" s="23">
        <f t="shared" si="3"/>
        <v>68</v>
      </c>
      <c r="T69" s="23"/>
      <c r="U69" s="23"/>
    </row>
    <row r="70" spans="14:21">
      <c r="N70" s="449"/>
      <c r="O70" s="298" t="s">
        <v>636</v>
      </c>
      <c r="P70" s="415" t="s">
        <v>637</v>
      </c>
      <c r="R70" s="23">
        <f t="shared" si="3"/>
        <v>69</v>
      </c>
      <c r="T70" s="23"/>
      <c r="U70" s="23"/>
    </row>
    <row r="71" spans="14:21">
      <c r="N71" s="449"/>
      <c r="O71" s="388" t="s">
        <v>638</v>
      </c>
      <c r="P71" s="299" t="s">
        <v>639</v>
      </c>
      <c r="R71" s="23">
        <f t="shared" si="3"/>
        <v>70</v>
      </c>
      <c r="T71" s="23"/>
      <c r="U71" s="23"/>
    </row>
    <row r="72" spans="14:21">
      <c r="N72" s="449"/>
      <c r="O72" s="388" t="s">
        <v>640</v>
      </c>
      <c r="P72" s="415" t="s">
        <v>641</v>
      </c>
      <c r="R72" s="23">
        <f t="shared" si="3"/>
        <v>71</v>
      </c>
      <c r="T72" s="23"/>
      <c r="U72" s="23"/>
    </row>
    <row r="73" spans="14:21" ht="26.15">
      <c r="N73" s="449"/>
      <c r="O73" s="388" t="s">
        <v>642</v>
      </c>
      <c r="P73" s="394" t="s">
        <v>643</v>
      </c>
      <c r="R73" s="23">
        <f t="shared" si="3"/>
        <v>72</v>
      </c>
      <c r="T73" s="23"/>
      <c r="U73" s="23"/>
    </row>
    <row r="74" spans="14:21">
      <c r="N74" s="449"/>
      <c r="O74" s="388" t="s">
        <v>644</v>
      </c>
      <c r="P74" s="415" t="s">
        <v>645</v>
      </c>
      <c r="R74" s="23">
        <f t="shared" si="3"/>
        <v>73</v>
      </c>
      <c r="T74" s="23"/>
      <c r="U74" s="23"/>
    </row>
    <row r="75" spans="14:21">
      <c r="N75" s="449"/>
      <c r="O75" s="388" t="s">
        <v>646</v>
      </c>
      <c r="P75" s="415" t="s">
        <v>647</v>
      </c>
      <c r="R75" s="23">
        <f t="shared" si="3"/>
        <v>74</v>
      </c>
      <c r="T75" s="23"/>
      <c r="U75" s="23"/>
    </row>
    <row r="76" spans="14:21">
      <c r="N76" s="449"/>
      <c r="O76" s="388" t="s">
        <v>648</v>
      </c>
      <c r="P76" s="415" t="s">
        <v>649</v>
      </c>
      <c r="R76" s="23">
        <f t="shared" si="3"/>
        <v>75</v>
      </c>
      <c r="T76" s="23"/>
      <c r="U76" s="23"/>
    </row>
    <row r="77" spans="14:21" ht="25.75">
      <c r="N77" s="449"/>
      <c r="O77" s="388" t="s">
        <v>650</v>
      </c>
      <c r="P77" s="299" t="s">
        <v>651</v>
      </c>
      <c r="R77" s="23">
        <f t="shared" si="3"/>
        <v>76</v>
      </c>
      <c r="T77" s="23"/>
      <c r="U77" s="23"/>
    </row>
    <row r="78" spans="14:21">
      <c r="N78" s="449"/>
      <c r="O78" s="388" t="s">
        <v>652</v>
      </c>
      <c r="P78" s="299" t="s">
        <v>653</v>
      </c>
      <c r="R78" s="23">
        <f t="shared" si="3"/>
        <v>77</v>
      </c>
      <c r="T78" s="23"/>
      <c r="U78" s="23"/>
    </row>
    <row r="79" spans="14:21">
      <c r="N79" s="449"/>
      <c r="O79" s="388" t="s">
        <v>654</v>
      </c>
      <c r="P79" s="299" t="s">
        <v>655</v>
      </c>
      <c r="R79" s="23">
        <f t="shared" si="3"/>
        <v>78</v>
      </c>
      <c r="T79" s="23"/>
      <c r="U79" s="23"/>
    </row>
    <row r="80" spans="14:21">
      <c r="N80" s="449"/>
      <c r="O80" s="298" t="s">
        <v>656</v>
      </c>
      <c r="P80" s="299" t="s">
        <v>657</v>
      </c>
      <c r="R80" s="23">
        <f t="shared" si="3"/>
        <v>79</v>
      </c>
      <c r="T80" s="23"/>
      <c r="U80" s="23"/>
    </row>
    <row r="81" spans="14:21">
      <c r="N81" s="449"/>
      <c r="O81" s="298" t="s">
        <v>658</v>
      </c>
      <c r="P81" s="415" t="s">
        <v>659</v>
      </c>
      <c r="R81" s="23">
        <f t="shared" si="3"/>
        <v>80</v>
      </c>
      <c r="T81" s="23"/>
      <c r="U81" s="23"/>
    </row>
    <row r="82" spans="14:21">
      <c r="N82" s="408" t="s">
        <v>660</v>
      </c>
      <c r="O82" s="298" t="s">
        <v>661</v>
      </c>
      <c r="P82" s="299" t="s">
        <v>662</v>
      </c>
      <c r="R82" s="23">
        <f t="shared" si="3"/>
        <v>81</v>
      </c>
      <c r="T82" s="23"/>
      <c r="U82" s="23"/>
    </row>
    <row r="83" spans="14:21">
      <c r="N83" s="414"/>
      <c r="O83" s="388" t="s">
        <v>663</v>
      </c>
      <c r="P83" s="415" t="s">
        <v>664</v>
      </c>
      <c r="R83" s="23">
        <f t="shared" si="3"/>
        <v>82</v>
      </c>
      <c r="T83" s="23"/>
      <c r="U83" s="23"/>
    </row>
    <row r="84" spans="14:21">
      <c r="N84" s="450" t="s">
        <v>665</v>
      </c>
      <c r="O84" s="298" t="s">
        <v>666</v>
      </c>
      <c r="P84" s="299" t="s">
        <v>667</v>
      </c>
      <c r="R84" s="23">
        <f t="shared" si="3"/>
        <v>83</v>
      </c>
      <c r="T84" s="23"/>
      <c r="U84" s="23"/>
    </row>
    <row r="85" spans="14:21" ht="26.15">
      <c r="N85" s="451"/>
      <c r="O85" s="388" t="s">
        <v>668</v>
      </c>
      <c r="P85" s="299" t="s">
        <v>669</v>
      </c>
      <c r="R85" s="23">
        <f t="shared" si="3"/>
        <v>84</v>
      </c>
      <c r="T85" s="23"/>
      <c r="U85" s="23"/>
    </row>
    <row r="86" spans="14:21">
      <c r="N86" s="451"/>
      <c r="O86" s="388" t="s">
        <v>670</v>
      </c>
      <c r="P86" s="299" t="s">
        <v>671</v>
      </c>
      <c r="R86" s="23">
        <f t="shared" si="3"/>
        <v>85</v>
      </c>
      <c r="T86" s="23"/>
      <c r="U86" s="23"/>
    </row>
    <row r="87" spans="14:21" ht="25.75">
      <c r="N87" s="451"/>
      <c r="O87" s="388" t="s">
        <v>672</v>
      </c>
      <c r="P87" s="299" t="s">
        <v>673</v>
      </c>
      <c r="R87" s="23">
        <f t="shared" si="3"/>
        <v>86</v>
      </c>
      <c r="T87" s="23"/>
      <c r="U87" s="23"/>
    </row>
    <row r="88" spans="14:21">
      <c r="N88" s="451"/>
      <c r="O88" s="388" t="s">
        <v>674</v>
      </c>
      <c r="P88" s="415" t="s">
        <v>675</v>
      </c>
      <c r="R88" s="23">
        <f t="shared" si="3"/>
        <v>87</v>
      </c>
      <c r="T88" s="23"/>
      <c r="U88" s="23"/>
    </row>
    <row r="89" spans="14:21">
      <c r="N89" s="451"/>
      <c r="O89" s="388" t="s">
        <v>676</v>
      </c>
      <c r="P89" s="299" t="s">
        <v>677</v>
      </c>
      <c r="R89" s="23">
        <f t="shared" si="3"/>
        <v>88</v>
      </c>
      <c r="T89" s="23"/>
      <c r="U89" s="23"/>
    </row>
    <row r="90" spans="14:21" ht="25.75">
      <c r="N90" s="451"/>
      <c r="O90" s="298" t="s">
        <v>678</v>
      </c>
      <c r="P90" s="299" t="s">
        <v>679</v>
      </c>
      <c r="R90" s="23">
        <f t="shared" si="3"/>
        <v>89</v>
      </c>
      <c r="T90" s="23"/>
      <c r="U90" s="23"/>
    </row>
    <row r="91" spans="14:21">
      <c r="N91" s="451"/>
      <c r="O91" s="388" t="s">
        <v>680</v>
      </c>
      <c r="P91" s="415" t="s">
        <v>681</v>
      </c>
      <c r="R91" s="23">
        <f t="shared" si="3"/>
        <v>90</v>
      </c>
      <c r="T91" s="23"/>
      <c r="U91" s="23"/>
    </row>
    <row r="92" spans="14:21">
      <c r="N92" s="451"/>
      <c r="O92" s="298" t="s">
        <v>682</v>
      </c>
      <c r="P92" s="299" t="s">
        <v>683</v>
      </c>
      <c r="R92" s="23">
        <f t="shared" si="3"/>
        <v>91</v>
      </c>
      <c r="T92" s="23"/>
      <c r="U92" s="23"/>
    </row>
    <row r="93" spans="14:21">
      <c r="N93" s="451"/>
      <c r="O93" s="298" t="s">
        <v>684</v>
      </c>
      <c r="P93" s="415" t="s">
        <v>685</v>
      </c>
      <c r="R93" s="23">
        <f t="shared" si="3"/>
        <v>92</v>
      </c>
      <c r="T93" s="23"/>
      <c r="U93" s="23"/>
    </row>
    <row r="94" spans="14:21">
      <c r="N94" s="451"/>
      <c r="O94" s="388" t="s">
        <v>686</v>
      </c>
      <c r="P94" s="299" t="s">
        <v>687</v>
      </c>
      <c r="R94" s="23">
        <f t="shared" si="3"/>
        <v>93</v>
      </c>
      <c r="T94" s="23"/>
      <c r="U94" s="23"/>
    </row>
    <row r="95" spans="14:21">
      <c r="N95" s="451"/>
      <c r="O95" s="298" t="s">
        <v>688</v>
      </c>
      <c r="P95" s="299" t="s">
        <v>689</v>
      </c>
      <c r="R95" s="23">
        <f t="shared" si="3"/>
        <v>94</v>
      </c>
      <c r="T95" s="23"/>
      <c r="U95" s="23"/>
    </row>
    <row r="96" spans="14:21">
      <c r="N96" s="451"/>
      <c r="O96" s="298" t="s">
        <v>690</v>
      </c>
      <c r="P96" s="299" t="s">
        <v>691</v>
      </c>
      <c r="R96" s="23">
        <f t="shared" si="3"/>
        <v>95</v>
      </c>
      <c r="T96" s="23"/>
      <c r="U96" s="23"/>
    </row>
    <row r="97" spans="14:21">
      <c r="N97" s="451"/>
      <c r="O97" s="388" t="s">
        <v>692</v>
      </c>
      <c r="P97" s="415" t="s">
        <v>693</v>
      </c>
      <c r="R97" s="23">
        <f t="shared" si="3"/>
        <v>96</v>
      </c>
      <c r="T97" s="23"/>
      <c r="U97" s="23"/>
    </row>
    <row r="98" spans="14:21">
      <c r="N98" s="451"/>
      <c r="O98" s="388" t="s">
        <v>694</v>
      </c>
      <c r="P98" s="415" t="s">
        <v>695</v>
      </c>
      <c r="R98" s="23">
        <f t="shared" si="3"/>
        <v>97</v>
      </c>
      <c r="T98" s="23"/>
      <c r="U98" s="23"/>
    </row>
    <row r="99" spans="14:21">
      <c r="N99" s="451"/>
      <c r="O99" s="388" t="s">
        <v>696</v>
      </c>
      <c r="P99" s="299" t="s">
        <v>697</v>
      </c>
      <c r="R99" s="23">
        <f t="shared" si="3"/>
        <v>98</v>
      </c>
      <c r="T99" s="23"/>
      <c r="U99" s="23"/>
    </row>
    <row r="100" spans="14:21">
      <c r="N100" s="451"/>
      <c r="O100" s="388" t="s">
        <v>698</v>
      </c>
      <c r="P100" s="394" t="s">
        <v>699</v>
      </c>
      <c r="R100" s="23">
        <f t="shared" si="3"/>
        <v>99</v>
      </c>
      <c r="T100" s="23"/>
      <c r="U100" s="23"/>
    </row>
    <row r="101" spans="14:21">
      <c r="N101" s="452"/>
      <c r="O101" s="388" t="s">
        <v>700</v>
      </c>
      <c r="P101" s="415" t="s">
        <v>701</v>
      </c>
      <c r="R101" s="23">
        <f t="shared" si="3"/>
        <v>100</v>
      </c>
      <c r="T101" s="23"/>
      <c r="U101" s="23"/>
    </row>
    <row r="102" spans="14:21">
      <c r="N102" s="452"/>
      <c r="O102" s="388" t="s">
        <v>702</v>
      </c>
      <c r="P102" s="415" t="s">
        <v>703</v>
      </c>
      <c r="R102" s="23">
        <f t="shared" si="3"/>
        <v>101</v>
      </c>
      <c r="T102" s="23"/>
      <c r="U102" s="23"/>
    </row>
    <row r="103" spans="14:21">
      <c r="N103" s="452"/>
      <c r="O103" s="388" t="s">
        <v>704</v>
      </c>
      <c r="P103" s="415" t="s">
        <v>705</v>
      </c>
      <c r="R103" s="23">
        <f t="shared" si="3"/>
        <v>102</v>
      </c>
      <c r="T103" s="23"/>
      <c r="U103" s="23"/>
    </row>
    <row r="104" spans="14:21">
      <c r="N104" s="452"/>
      <c r="O104" s="388" t="s">
        <v>706</v>
      </c>
      <c r="P104" s="394" t="s">
        <v>707</v>
      </c>
      <c r="R104" s="23">
        <f t="shared" si="3"/>
        <v>103</v>
      </c>
      <c r="T104" s="23"/>
      <c r="U104" s="23"/>
    </row>
    <row r="105" spans="14:21">
      <c r="N105" s="452"/>
      <c r="O105" s="388" t="s">
        <v>708</v>
      </c>
      <c r="P105" s="415" t="s">
        <v>709</v>
      </c>
      <c r="R105" s="23">
        <f t="shared" si="3"/>
        <v>104</v>
      </c>
      <c r="T105" s="23"/>
      <c r="U105" s="23"/>
    </row>
    <row r="106" spans="14:21">
      <c r="N106" s="452"/>
      <c r="O106" s="388" t="s">
        <v>710</v>
      </c>
      <c r="P106" s="415" t="s">
        <v>711</v>
      </c>
      <c r="R106" s="23">
        <f t="shared" si="3"/>
        <v>105</v>
      </c>
      <c r="T106" s="23"/>
      <c r="U106" s="23"/>
    </row>
    <row r="107" spans="14:21" ht="15" thickBot="1">
      <c r="N107" s="453"/>
      <c r="O107" s="454" t="s">
        <v>712</v>
      </c>
      <c r="P107" s="455" t="s">
        <v>713</v>
      </c>
      <c r="R107" s="23">
        <f t="shared" si="3"/>
        <v>106</v>
      </c>
      <c r="T107" s="23"/>
      <c r="U107" s="23"/>
    </row>
    <row r="108" spans="14:21" ht="15" thickTop="1"/>
  </sheetData>
  <mergeCells count="33">
    <mergeCell ref="AC6:AD6"/>
    <mergeCell ref="H3:H4"/>
    <mergeCell ref="I3:K3"/>
    <mergeCell ref="E5:E15"/>
    <mergeCell ref="F5:F15"/>
    <mergeCell ref="AB5:AB6"/>
    <mergeCell ref="AC5:AE5"/>
    <mergeCell ref="AF5:AF6"/>
    <mergeCell ref="AJ5:AJ6"/>
    <mergeCell ref="AK5:AO5"/>
    <mergeCell ref="BG5:BG6"/>
    <mergeCell ref="BH5:BL5"/>
    <mergeCell ref="AF16:AF17"/>
    <mergeCell ref="U17:V17"/>
    <mergeCell ref="AC17:AD17"/>
    <mergeCell ref="E19:E32"/>
    <mergeCell ref="F19:F32"/>
    <mergeCell ref="T27:T28"/>
    <mergeCell ref="U27:W27"/>
    <mergeCell ref="X27:X28"/>
    <mergeCell ref="AB27:AB28"/>
    <mergeCell ref="AC27:AE27"/>
    <mergeCell ref="E16:E18"/>
    <mergeCell ref="T16:T17"/>
    <mergeCell ref="U16:W16"/>
    <mergeCell ref="X16:X17"/>
    <mergeCell ref="AB16:AB17"/>
    <mergeCell ref="AC16:AE16"/>
    <mergeCell ref="AF27:AF28"/>
    <mergeCell ref="U28:V28"/>
    <mergeCell ref="AC28:AD28"/>
    <mergeCell ref="E33:E44"/>
    <mergeCell ref="F33:F44"/>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92D050"/>
  </sheetPr>
  <dimension ref="B1:P10"/>
  <sheetViews>
    <sheetView workbookViewId="0"/>
  </sheetViews>
  <sheetFormatPr defaultRowHeight="14.6"/>
  <cols>
    <col min="2" max="2" width="14.69140625" customWidth="1"/>
    <col min="3" max="4" width="16.69140625" customWidth="1"/>
    <col min="5" max="5" width="60.69140625" customWidth="1"/>
    <col min="6" max="6" width="28.69140625" customWidth="1"/>
    <col min="7" max="7" width="20.69140625" customWidth="1"/>
    <col min="8" max="9" width="9.15234375" customWidth="1"/>
    <col min="10" max="10" width="14.69140625" customWidth="1"/>
    <col min="11" max="12" width="16.69140625" customWidth="1"/>
    <col min="13" max="13" width="48.69140625" customWidth="1"/>
    <col min="14" max="14" width="148.69140625" customWidth="1"/>
    <col min="15" max="15" width="32.69140625" customWidth="1"/>
    <col min="16" max="16" width="20.69140625" customWidth="1"/>
  </cols>
  <sheetData>
    <row r="1" spans="2:16" ht="15" thickBot="1"/>
    <row r="2" spans="2:16" ht="19.3" thickTop="1" thickBot="1">
      <c r="E2" s="2126" t="s">
        <v>1222</v>
      </c>
      <c r="F2" s="2127"/>
      <c r="G2" s="2128"/>
    </row>
    <row r="3" spans="2:16" ht="19.3" thickTop="1" thickBot="1">
      <c r="B3" s="912" t="s">
        <v>1840</v>
      </c>
      <c r="C3" s="912"/>
      <c r="D3" s="912"/>
      <c r="E3" s="894"/>
      <c r="F3" s="895"/>
      <c r="G3" s="74"/>
      <c r="M3" s="2126" t="s">
        <v>1153</v>
      </c>
      <c r="N3" s="2127"/>
      <c r="O3" s="2127"/>
      <c r="P3" s="2128"/>
    </row>
    <row r="4" spans="2:16" ht="19.3" thickTop="1" thickBot="1">
      <c r="E4" s="2126" t="s">
        <v>1223</v>
      </c>
      <c r="F4" s="2127"/>
      <c r="G4" s="2128"/>
      <c r="J4" s="912" t="s">
        <v>1840</v>
      </c>
      <c r="K4" s="912"/>
      <c r="L4" s="912"/>
      <c r="M4" s="2129"/>
      <c r="N4" s="2130"/>
      <c r="O4" s="2130"/>
      <c r="P4" s="2131"/>
    </row>
    <row r="5" spans="2:16" ht="19.3" thickTop="1" thickBot="1">
      <c r="D5" s="628" t="s">
        <v>1860</v>
      </c>
      <c r="E5" s="1687" t="s">
        <v>1858</v>
      </c>
      <c r="F5" s="2107" t="s">
        <v>1730</v>
      </c>
      <c r="G5" s="2109"/>
      <c r="M5" s="2132" t="s">
        <v>1193</v>
      </c>
      <c r="N5" s="2133"/>
      <c r="O5" s="2032" t="s">
        <v>1861</v>
      </c>
      <c r="P5" s="2034"/>
    </row>
    <row r="6" spans="2:16" ht="19.3" thickTop="1" thickBot="1">
      <c r="C6" s="1692" t="s">
        <v>170</v>
      </c>
      <c r="D6" s="1701" t="s">
        <v>226</v>
      </c>
      <c r="E6" s="1694" t="s">
        <v>1219</v>
      </c>
      <c r="F6" s="1516" t="s">
        <v>1851</v>
      </c>
      <c r="G6" s="1695" t="s">
        <v>1854</v>
      </c>
      <c r="L6" s="628" t="s">
        <v>1859</v>
      </c>
      <c r="M6" s="2124" t="s">
        <v>1194</v>
      </c>
      <c r="N6" s="2125"/>
      <c r="O6" s="2032" t="s">
        <v>1195</v>
      </c>
      <c r="P6" s="2034"/>
    </row>
    <row r="7" spans="2:16" s="128" customFormat="1" ht="19.3" thickTop="1" thickBot="1">
      <c r="B7" s="1575" t="s">
        <v>1297</v>
      </c>
      <c r="C7" s="1703" t="s">
        <v>1849</v>
      </c>
      <c r="D7" s="1702" t="s">
        <v>1848</v>
      </c>
      <c r="E7" s="1699" t="s">
        <v>1853</v>
      </c>
      <c r="F7" s="628" t="s">
        <v>1852</v>
      </c>
      <c r="G7" s="628" t="s">
        <v>1855</v>
      </c>
      <c r="J7"/>
      <c r="K7" s="1692" t="s">
        <v>170</v>
      </c>
      <c r="L7" s="1668" t="s">
        <v>226</v>
      </c>
      <c r="M7" s="1700" t="s">
        <v>1857</v>
      </c>
      <c r="N7" s="1705" t="s">
        <v>1865</v>
      </c>
      <c r="O7" s="1704" t="s">
        <v>933</v>
      </c>
      <c r="P7" s="1704" t="s">
        <v>1864</v>
      </c>
    </row>
    <row r="8" spans="2:16" s="248" customFormat="1" ht="19.3" thickTop="1" thickBot="1">
      <c r="B8" s="1573" t="s">
        <v>1839</v>
      </c>
      <c r="C8" s="1693" t="str">
        <f>Work!$J$8</f>
        <v>Adversarial</v>
      </c>
      <c r="D8" s="1577">
        <f>Work!$B$8</f>
        <v>3</v>
      </c>
      <c r="E8" s="1696" t="str">
        <f>IF(Work!$AJ$8=0, "?", Work!$AJ$8)</f>
        <v>Experience with known nation state attackers.</v>
      </c>
      <c r="F8" s="1697" t="str">
        <f>Work!AK8</f>
        <v>21-79+  (Moderate)</v>
      </c>
      <c r="G8" s="1698">
        <f>Work!AL8</f>
        <v>51</v>
      </c>
      <c r="J8" s="1574" t="s">
        <v>1297</v>
      </c>
      <c r="K8" s="1637" t="s">
        <v>1856</v>
      </c>
      <c r="L8" s="1401" t="s">
        <v>1850</v>
      </c>
      <c r="M8" s="628" t="s">
        <v>1867</v>
      </c>
      <c r="N8" s="1663" t="s">
        <v>1866</v>
      </c>
      <c r="O8" s="1688" t="s">
        <v>1862</v>
      </c>
      <c r="P8" s="472" t="s">
        <v>1863</v>
      </c>
    </row>
    <row r="9" spans="2:16" ht="16.75" thickTop="1" thickBot="1">
      <c r="J9" s="1573" t="s">
        <v>1839</v>
      </c>
      <c r="K9" s="1690" t="str">
        <f>Work!$J$8</f>
        <v>Adversarial</v>
      </c>
      <c r="L9" s="1691">
        <f>Work!$B$8</f>
        <v>3</v>
      </c>
      <c r="M9" s="1598">
        <f>Work!AX10</f>
        <v>0</v>
      </c>
      <c r="N9" s="1689">
        <f>Work!AY10</f>
        <v>0</v>
      </c>
      <c r="O9" s="1690">
        <f>Work!AZ10</f>
        <v>0</v>
      </c>
      <c r="P9" s="1689">
        <f>Work!BA10</f>
        <v>0</v>
      </c>
    </row>
    <row r="10" spans="2:16" ht="15" thickTop="1">
      <c r="N10" s="759"/>
    </row>
  </sheetData>
  <mergeCells count="9">
    <mergeCell ref="M6:N6"/>
    <mergeCell ref="O6:P6"/>
    <mergeCell ref="E2:G2"/>
    <mergeCell ref="M3:P3"/>
    <mergeCell ref="E4:G4"/>
    <mergeCell ref="F5:G5"/>
    <mergeCell ref="M4:P4"/>
    <mergeCell ref="M5:N5"/>
    <mergeCell ref="O5:P5"/>
  </mergeCells>
  <conditionalFormatting sqref="O6:O7">
    <cfRule type="expression" dxfId="199" priority="6">
      <formula>SmeRatingD3</formula>
    </cfRule>
  </conditionalFormatting>
  <conditionalFormatting sqref="P8">
    <cfRule type="expression" dxfId="198" priority="5">
      <formula>SmeRatingDTF5</formula>
    </cfRule>
    <cfRule type="expression" dxfId="197" priority="7">
      <formula>SmeRatingD3</formula>
    </cfRule>
  </conditionalFormatting>
  <conditionalFormatting sqref="N8">
    <cfRule type="expression" dxfId="196" priority="4">
      <formula>CheckF4Val_DTABLES</formula>
    </cfRule>
  </conditionalFormatting>
  <conditionalFormatting sqref="O6:P7">
    <cfRule type="expression" dxfId="195" priority="3">
      <formula>SmeRatingDTF5</formula>
    </cfRule>
  </conditionalFormatting>
  <conditionalFormatting sqref="O5">
    <cfRule type="expression" dxfId="194" priority="2">
      <formula>SmeRatingD3</formula>
    </cfRule>
  </conditionalFormatting>
  <conditionalFormatting sqref="O5:P5">
    <cfRule type="expression" dxfId="193" priority="1">
      <formula>SmeRatingDTF5</formula>
    </cfRule>
  </conditionalFormatting>
  <pageMargins left="0.7" right="0.7" top="0.75" bottom="0.75" header="0.3" footer="0.3"/>
  <pageSetup orientation="portrait"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2D050"/>
  </sheetPr>
  <dimension ref="B3:L21"/>
  <sheetViews>
    <sheetView workbookViewId="0"/>
  </sheetViews>
  <sheetFormatPr defaultRowHeight="14.6"/>
  <cols>
    <col min="2" max="2" width="12.69140625" customWidth="1"/>
    <col min="3" max="3" width="16.69140625" customWidth="1"/>
    <col min="4" max="4" width="12.69140625" customWidth="1"/>
    <col min="5" max="5" width="44.69140625" customWidth="1"/>
    <col min="6" max="6" width="20.69140625" customWidth="1"/>
    <col min="7" max="7" width="46.69140625" customWidth="1"/>
    <col min="8" max="8" width="22.69140625" customWidth="1"/>
    <col min="9" max="9" width="38.69140625" customWidth="1"/>
    <col min="10" max="10" width="30.69140625" customWidth="1"/>
    <col min="11" max="11" width="40.69140625" customWidth="1"/>
    <col min="12" max="12" width="14.69140625" customWidth="1"/>
  </cols>
  <sheetData>
    <row r="3" spans="2:12" ht="15" thickBot="1"/>
    <row r="4" spans="2:12" s="246" customFormat="1" ht="19.3" thickTop="1" thickBot="1">
      <c r="E4" s="2134" t="s">
        <v>1157</v>
      </c>
      <c r="F4" s="2135"/>
      <c r="G4" s="2135"/>
      <c r="H4" s="2135"/>
      <c r="I4" s="2135"/>
      <c r="J4" s="2135"/>
      <c r="K4" s="2135"/>
      <c r="L4" s="2136"/>
    </row>
    <row r="5" spans="2:12" s="246" customFormat="1" ht="19.3" thickTop="1" thickBot="1">
      <c r="B5" s="912" t="s">
        <v>1840</v>
      </c>
      <c r="C5" s="912"/>
      <c r="D5" s="912"/>
      <c r="E5" s="2137" t="s">
        <v>1154</v>
      </c>
      <c r="F5" s="2138"/>
      <c r="G5" s="2137" t="s">
        <v>1155</v>
      </c>
      <c r="H5" s="2138"/>
      <c r="I5" s="2137" t="s">
        <v>1156</v>
      </c>
      <c r="J5" s="2138"/>
      <c r="K5" s="2137" t="s">
        <v>1160</v>
      </c>
      <c r="L5" s="2138"/>
    </row>
    <row r="6" spans="2:12" s="246" customFormat="1" ht="19.3" thickTop="1" thickBot="1">
      <c r="C6" s="1708" t="s">
        <v>170</v>
      </c>
      <c r="D6" s="1709" t="s">
        <v>226</v>
      </c>
      <c r="E6" s="573" t="s">
        <v>1012</v>
      </c>
      <c r="F6" s="573" t="s">
        <v>1868</v>
      </c>
      <c r="G6" s="573" t="s">
        <v>1013</v>
      </c>
      <c r="H6" s="573" t="s">
        <v>1869</v>
      </c>
      <c r="I6" s="573" t="s">
        <v>1870</v>
      </c>
      <c r="J6" s="573" t="s">
        <v>1871</v>
      </c>
      <c r="K6" s="573" t="s">
        <v>1124</v>
      </c>
      <c r="L6" s="573" t="s">
        <v>1872</v>
      </c>
    </row>
    <row r="7" spans="2:12" s="128" customFormat="1" ht="19.3" thickTop="1" thickBot="1">
      <c r="B7" s="1575" t="s">
        <v>1297</v>
      </c>
      <c r="C7" s="1637" t="s">
        <v>1882</v>
      </c>
      <c r="D7" s="1637" t="s">
        <v>1881</v>
      </c>
      <c r="E7" s="1668" t="s">
        <v>1873</v>
      </c>
      <c r="F7" s="1668" t="s">
        <v>1874</v>
      </c>
      <c r="G7" s="1668" t="s">
        <v>1880</v>
      </c>
      <c r="H7" s="1668" t="s">
        <v>1875</v>
      </c>
      <c r="I7" s="1668" t="s">
        <v>1876</v>
      </c>
      <c r="J7" s="1668" t="s">
        <v>1877</v>
      </c>
      <c r="K7" s="1668" t="s">
        <v>1878</v>
      </c>
      <c r="L7" s="1668" t="s">
        <v>1879</v>
      </c>
    </row>
    <row r="8" spans="2:12" s="248" customFormat="1" ht="16.75" thickTop="1" thickBot="1">
      <c r="B8" s="1573" t="s">
        <v>1839</v>
      </c>
      <c r="C8" s="1691" t="str">
        <f>Work!$J$8</f>
        <v>Adversarial</v>
      </c>
      <c r="D8" s="1691">
        <f xml:space="preserve"> Work!$B$8</f>
        <v>3</v>
      </c>
      <c r="E8" s="1598" t="str">
        <f>Work!$AW$8</f>
        <v>5-20+   (Low)</v>
      </c>
      <c r="F8" s="1598">
        <f>Work!$AX$8</f>
        <v>13</v>
      </c>
      <c r="G8" s="1598">
        <f>Work!$AY$8</f>
        <v>0</v>
      </c>
      <c r="H8" s="1598" t="str">
        <f>Work!$AZ$8</f>
        <v>n/a</v>
      </c>
      <c r="I8" s="1598" t="str">
        <f>Work!$BA$8</f>
        <v>80-95+  (High)</v>
      </c>
      <c r="J8" s="1707">
        <f>Work!$BB$8</f>
        <v>88</v>
      </c>
      <c r="K8" s="1598" t="str">
        <f>Work!$BE$8</f>
        <v>Moderate</v>
      </c>
      <c r="L8" s="1707">
        <f>Work!$BF$8</f>
        <v>69.400000000000006</v>
      </c>
    </row>
    <row r="9" spans="2:12" ht="15" thickTop="1"/>
    <row r="21" spans="8:8">
      <c r="H21" t="s">
        <v>1163</v>
      </c>
    </row>
  </sheetData>
  <mergeCells count="5">
    <mergeCell ref="E4:L4"/>
    <mergeCell ref="E5:F5"/>
    <mergeCell ref="G5:H5"/>
    <mergeCell ref="I5:J5"/>
    <mergeCell ref="K5:L5"/>
  </mergeCells>
  <pageMargins left="0.7" right="0.7" top="0.75" bottom="0.75" header="0.3" footer="0.3"/>
  <pageSetup orientation="portrait" verticalDpi="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92D050"/>
  </sheetPr>
  <dimension ref="B1:H9"/>
  <sheetViews>
    <sheetView workbookViewId="0"/>
  </sheetViews>
  <sheetFormatPr defaultRowHeight="14.6"/>
  <cols>
    <col min="2" max="2" width="12.69140625" customWidth="1"/>
    <col min="3" max="3" width="16.69140625" customWidth="1"/>
    <col min="4" max="4" width="12.69140625" customWidth="1"/>
    <col min="5" max="5" width="36.69140625" customWidth="1"/>
    <col min="6" max="6" width="146.69140625" customWidth="1"/>
    <col min="7" max="8" width="34.69140625" customWidth="1"/>
    <col min="9" max="9" width="29.69140625" customWidth="1"/>
    <col min="10" max="10" width="24.69140625" customWidth="1"/>
    <col min="11" max="11" width="32.69140625" customWidth="1"/>
    <col min="12" max="12" width="24.69140625" customWidth="1"/>
  </cols>
  <sheetData>
    <row r="1" spans="2:8" ht="15" thickBot="1"/>
    <row r="2" spans="2:8" s="246" customFormat="1" ht="19.3" thickTop="1" thickBot="1">
      <c r="C2" s="2126" t="s">
        <v>1185</v>
      </c>
      <c r="D2" s="2127"/>
      <c r="E2" s="2127"/>
      <c r="F2" s="2127"/>
      <c r="G2" s="2127"/>
      <c r="H2" s="2128"/>
    </row>
    <row r="3" spans="2:8" ht="15" thickTop="1">
      <c r="B3" s="912" t="s">
        <v>1840</v>
      </c>
      <c r="C3" s="912"/>
      <c r="D3" s="912"/>
      <c r="E3" s="2140" t="s">
        <v>1192</v>
      </c>
      <c r="F3" s="2141"/>
      <c r="G3" s="2141" t="s">
        <v>1226</v>
      </c>
      <c r="H3" s="2142"/>
    </row>
    <row r="4" spans="2:8" s="246" customFormat="1" ht="18.899999999999999" thickBot="1">
      <c r="E4" s="2085"/>
      <c r="F4" s="2086"/>
      <c r="G4" s="2086"/>
      <c r="H4" s="2087"/>
    </row>
    <row r="5" spans="2:8" s="246" customFormat="1" ht="19.3" thickTop="1" thickBot="1">
      <c r="E5" s="2139" t="s">
        <v>1186</v>
      </c>
      <c r="F5" s="2139"/>
      <c r="G5" s="2139" t="s">
        <v>1191</v>
      </c>
      <c r="H5" s="2139"/>
    </row>
    <row r="6" spans="2:8" s="246" customFormat="1" ht="19.3" thickTop="1" thickBot="1">
      <c r="B6" s="1649" t="s">
        <v>1297</v>
      </c>
      <c r="C6" s="1557" t="s">
        <v>170</v>
      </c>
      <c r="D6" s="1557" t="s">
        <v>226</v>
      </c>
      <c r="E6" s="1663" t="s">
        <v>1883</v>
      </c>
      <c r="F6" s="628" t="s">
        <v>1885</v>
      </c>
      <c r="G6" s="628" t="s">
        <v>1887</v>
      </c>
      <c r="H6" s="628" t="s">
        <v>1889</v>
      </c>
    </row>
    <row r="7" spans="2:8" s="246" customFormat="1" ht="19.3" thickTop="1" thickBot="1">
      <c r="B7" s="1710"/>
      <c r="C7" s="1572" t="s">
        <v>1138</v>
      </c>
      <c r="D7" s="1572" t="s">
        <v>1139</v>
      </c>
      <c r="E7" s="1663" t="s">
        <v>1884</v>
      </c>
      <c r="F7" s="628" t="s">
        <v>1886</v>
      </c>
      <c r="G7" s="628" t="s">
        <v>1888</v>
      </c>
      <c r="H7" s="628" t="s">
        <v>1890</v>
      </c>
    </row>
    <row r="8" spans="2:8" ht="15.45" thickTop="1" thickBot="1">
      <c r="B8" s="806" t="s">
        <v>1839</v>
      </c>
      <c r="C8" s="1576" t="str">
        <f>Work!$J$8</f>
        <v>Adversarial</v>
      </c>
      <c r="D8" s="1576">
        <f>Work!$B$8</f>
        <v>3</v>
      </c>
      <c r="E8" s="1711" t="str">
        <f>Work!BI8</f>
        <v>HARM TO OPERATIONS</v>
      </c>
      <c r="F8" s="1712" t="str">
        <f>Work!BJ8</f>
        <v>Harms (e.g., financial costs, sanctions) due to noncompliance. - 
With applicable laws or regulations.</v>
      </c>
      <c r="G8" s="1542" t="str">
        <f>Work!BK8</f>
        <v>21-79+  (Moderate)</v>
      </c>
      <c r="H8" s="1713">
        <f>Work!BL8</f>
        <v>51</v>
      </c>
    </row>
    <row r="9" spans="2:8" ht="15" thickTop="1">
      <c r="H9" s="23"/>
    </row>
  </sheetData>
  <mergeCells count="5">
    <mergeCell ref="E5:F5"/>
    <mergeCell ref="G5:H5"/>
    <mergeCell ref="C2:H2"/>
    <mergeCell ref="E3:F4"/>
    <mergeCell ref="G3:H4"/>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61</vt:i4>
      </vt:variant>
      <vt:variant>
        <vt:lpstr>Named Ranges</vt:lpstr>
      </vt:variant>
      <vt:variant>
        <vt:i4>2</vt:i4>
      </vt:variant>
    </vt:vector>
  </HeadingPairs>
  <TitlesOfParts>
    <vt:vector size="63" baseType="lpstr">
      <vt:lpstr>Work</vt:lpstr>
      <vt:lpstr>Copyright</vt:lpstr>
      <vt:lpstr>BSD License</vt:lpstr>
      <vt:lpstr>Theory</vt:lpstr>
      <vt:lpstr>Table D7&amp;8</vt:lpstr>
      <vt:lpstr>Table E5</vt:lpstr>
      <vt:lpstr> Table F3&amp;6</vt:lpstr>
      <vt:lpstr>Table G6</vt:lpstr>
      <vt:lpstr>Table H4</vt:lpstr>
      <vt:lpstr>Table I5</vt:lpstr>
      <vt:lpstr>Table I7</vt:lpstr>
      <vt:lpstr>NIST Workshop</vt:lpstr>
      <vt:lpstr>Settings</vt:lpstr>
      <vt:lpstr>D2</vt:lpstr>
      <vt:lpstr>D3</vt:lpstr>
      <vt:lpstr>D4</vt:lpstr>
      <vt:lpstr>D5</vt:lpstr>
      <vt:lpstr>D6</vt:lpstr>
      <vt:lpstr>E2</vt:lpstr>
      <vt:lpstr>E3</vt:lpstr>
      <vt:lpstr>E2_desc</vt:lpstr>
      <vt:lpstr>E4</vt:lpstr>
      <vt:lpstr>F2</vt:lpstr>
      <vt:lpstr>F4</vt:lpstr>
      <vt:lpstr>F5</vt:lpstr>
      <vt:lpstr>G5_Hide</vt:lpstr>
      <vt:lpstr>G2</vt:lpstr>
      <vt:lpstr>G3</vt:lpstr>
      <vt:lpstr>I2_Hide</vt:lpstr>
      <vt:lpstr>G5_Proof</vt:lpstr>
      <vt:lpstr>Cell_Results</vt:lpstr>
      <vt:lpstr>G5_Concept_1</vt:lpstr>
      <vt:lpstr>G5_Concept_2</vt:lpstr>
      <vt:lpstr>I2_Concept_1</vt:lpstr>
      <vt:lpstr>I2_Concept_2</vt:lpstr>
      <vt:lpstr>I2_Proof</vt:lpstr>
      <vt:lpstr>_Table D7&amp;8</vt:lpstr>
      <vt:lpstr>_Table E5</vt:lpstr>
      <vt:lpstr>_Table F3</vt:lpstr>
      <vt:lpstr>_Table F6</vt:lpstr>
      <vt:lpstr>_Table G6 </vt:lpstr>
      <vt:lpstr>Sheet1</vt:lpstr>
      <vt:lpstr>_Table H4</vt:lpstr>
      <vt:lpstr>_Table I5</vt:lpstr>
      <vt:lpstr>_Table I7</vt:lpstr>
      <vt:lpstr>D8</vt:lpstr>
      <vt:lpstr>G4</vt:lpstr>
      <vt:lpstr>H2</vt:lpstr>
      <vt:lpstr>H3</vt:lpstr>
      <vt:lpstr>I3</vt:lpstr>
      <vt:lpstr>D-ThreatSources</vt:lpstr>
      <vt:lpstr>E-ThreatEvents</vt:lpstr>
      <vt:lpstr>F-VulnerabilitySeverity</vt:lpstr>
      <vt:lpstr>G-ThreatLikelihood</vt:lpstr>
      <vt:lpstr>H-ThreatImpact</vt:lpstr>
      <vt:lpstr>I-Risk</vt:lpstr>
      <vt:lpstr>F-misc</vt:lpstr>
      <vt:lpstr>G-misc</vt:lpstr>
      <vt:lpstr>H-misc</vt:lpstr>
      <vt:lpstr>I-misc</vt:lpstr>
      <vt:lpstr>H&amp;I-misc</vt:lpstr>
      <vt:lpstr>Algorithm</vt:lpstr>
      <vt:lpstr>IDgen</vt:lpstr>
    </vt:vector>
  </TitlesOfParts>
  <Company>LANL DCS-CSD</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Pommer, Karl Eugene II</dc:creator>
  <cp:lastModifiedBy>Karl Pommer</cp:lastModifiedBy>
  <cp:lastPrinted>2018-10-11T19:53:31Z</cp:lastPrinted>
  <dcterms:created xsi:type="dcterms:W3CDTF">2018-08-28T12:43:30Z</dcterms:created>
  <dcterms:modified xsi:type="dcterms:W3CDTF">2022-07-30T21:38:53Z</dcterms:modified>
</cp:coreProperties>
</file>